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msdnenova-my.sharepoint.com/personal/paulina_dzik_soneta_pl/Documents/Desktop/Kalkulatory od 1.01.2024/Standardowy/"/>
    </mc:Choice>
  </mc:AlternateContent>
  <xr:revisionPtr revIDLastSave="4" documentId="8_{6F32AF64-A229-4EBC-8884-34EBA20C8CF4}" xr6:coauthVersionLast="47" xr6:coauthVersionMax="47" xr10:uidLastSave="{9EBA6377-CAE0-4029-8993-A6C3466061D7}"/>
  <bookViews>
    <workbookView xWindow="-108" yWindow="-108" windowWidth="23256" windowHeight="12456" tabRatio="774" xr2:uid="{00000000-000D-0000-FFFF-FFFF00000000}"/>
  </bookViews>
  <sheets>
    <sheet name="enova365 - Instalacja 1-bazowa" sheetId="10" r:id="rId1"/>
    <sheet name="enova365 - Biuro Rachunkowe" sheetId="11" r:id="rId2"/>
    <sheet name="enova365 - BRdGr pow.10" sheetId="14" r:id="rId3"/>
    <sheet name="enova365 - Wielofirmowa" sheetId="12" r:id="rId4"/>
    <sheet name="Cennik enova365" sheetId="9" r:id="rId5"/>
  </sheets>
  <definedNames>
    <definedName name="_xlnm._FilterDatabase" localSheetId="1" hidden="1">'enova365 - Biuro Rachunkowe'!$H$1:$H$99</definedName>
    <definedName name="_xlnm._FilterDatabase" localSheetId="2" hidden="1">'enova365 - BRdGr pow.10'!$H$1:$H$100</definedName>
    <definedName name="_xlnm._FilterDatabase" localSheetId="0" hidden="1">'enova365 - Instalacja 1-bazowa'!$H$1:$H$130</definedName>
    <definedName name="_xlnm._FilterDatabase" localSheetId="3" hidden="1">'enova365 - Wielofirmowa'!$H$1:$H$93</definedName>
    <definedName name="ABBYY_FlexiCapture_for_Invoices">#REF!</definedName>
    <definedName name="enova365_Praca_Hybrydowa_w_Pulpitach">pulpity_BI19[#All]</definedName>
    <definedName name="_xlnm.Print_Area" localSheetId="0">'enova365 - Instalacja 1-bazowa'!$A$3:$A$30</definedName>
    <definedName name="pakiety_BR_AKT">pakiety_BR[[cena promo]:[AT]]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8" i="10" l="1"/>
  <c r="N20" i="10" l="1"/>
  <c r="D20" i="10"/>
  <c r="C20" i="10"/>
  <c r="G20" i="10" s="1"/>
  <c r="H20" i="10" s="1"/>
  <c r="B23" i="11"/>
  <c r="D23" i="11" s="1"/>
  <c r="M13" i="11"/>
  <c r="D13" i="11"/>
  <c r="C13" i="11"/>
  <c r="G13" i="11" s="1"/>
  <c r="H13" i="11" s="1"/>
  <c r="D23" i="14"/>
  <c r="D13" i="14"/>
  <c r="C13" i="14"/>
  <c r="G13" i="14" s="1"/>
  <c r="H13" i="14" s="1"/>
  <c r="D32" i="12"/>
  <c r="D20" i="12"/>
  <c r="C20" i="12"/>
  <c r="G20" i="12" s="1"/>
  <c r="H20" i="12" s="1"/>
  <c r="J17" i="14"/>
  <c r="J17" i="11"/>
  <c r="J11" i="14"/>
  <c r="J18" i="10"/>
  <c r="J24" i="10"/>
  <c r="J11" i="11"/>
  <c r="J86" i="12" l="1"/>
  <c r="J82" i="14"/>
  <c r="J81" i="11"/>
  <c r="J88" i="10"/>
  <c r="N19" i="10" l="1"/>
  <c r="D19" i="10"/>
  <c r="C19" i="10"/>
  <c r="G19" i="10" s="1"/>
  <c r="H19" i="10" s="1"/>
  <c r="M12" i="11"/>
  <c r="D12" i="11"/>
  <c r="C12" i="11"/>
  <c r="G12" i="11" s="1"/>
  <c r="H12" i="11" s="1"/>
  <c r="D12" i="14"/>
  <c r="C12" i="14"/>
  <c r="G12" i="14" s="1"/>
  <c r="H12" i="14" s="1"/>
  <c r="D19" i="12"/>
  <c r="C19" i="12"/>
  <c r="G19" i="12" s="1"/>
  <c r="H19" i="12" s="1"/>
  <c r="H44" i="10" l="1"/>
  <c r="D44" i="10"/>
  <c r="H49" i="11"/>
  <c r="D49" i="11"/>
  <c r="H49" i="14"/>
  <c r="G49" i="14"/>
  <c r="D49" i="14"/>
  <c r="H44" i="12"/>
  <c r="D44" i="12"/>
  <c r="G61" i="10" l="1"/>
  <c r="J61" i="10"/>
  <c r="J61" i="12"/>
  <c r="H61" i="10"/>
  <c r="D61" i="10"/>
  <c r="J13" i="12"/>
  <c r="G61" i="12"/>
  <c r="G62" i="12" s="1"/>
  <c r="H61" i="12" l="1"/>
  <c r="D61" i="12"/>
  <c r="H60" i="10" l="1"/>
  <c r="D60" i="10"/>
  <c r="H63" i="11"/>
  <c r="D63" i="11"/>
  <c r="H63" i="14"/>
  <c r="G63" i="14"/>
  <c r="D63" i="14"/>
  <c r="H60" i="12"/>
  <c r="D60" i="12"/>
  <c r="J13" i="10"/>
  <c r="J10" i="11"/>
  <c r="J6" i="14"/>
  <c r="J10" i="14"/>
  <c r="N29" i="10" l="1"/>
  <c r="N18" i="10"/>
  <c r="D29" i="10"/>
  <c r="C29" i="10"/>
  <c r="G29" i="10" s="1"/>
  <c r="D29" i="12"/>
  <c r="C29" i="12"/>
  <c r="G29" i="12" s="1"/>
  <c r="H29" i="12" s="1"/>
  <c r="H29" i="10" l="1"/>
  <c r="N28" i="10"/>
  <c r="N27" i="10"/>
  <c r="D27" i="10" l="1"/>
  <c r="C27" i="10"/>
  <c r="G27" i="10" l="1"/>
  <c r="H27" i="10" s="1"/>
  <c r="C28" i="12"/>
  <c r="D28" i="12" l="1"/>
  <c r="G28" i="12" s="1"/>
  <c r="J28" i="12" s="1"/>
  <c r="H28" i="12" l="1"/>
  <c r="C86" i="12"/>
  <c r="G86" i="12" s="1"/>
  <c r="C88" i="10" l="1"/>
  <c r="C81" i="11"/>
  <c r="G81" i="11" s="1"/>
  <c r="C82" i="14"/>
  <c r="G82" i="14" s="1"/>
  <c r="D37" i="14" l="1"/>
  <c r="D37" i="11"/>
  <c r="G72" i="12"/>
  <c r="G73" i="12"/>
  <c r="G69" i="12"/>
  <c r="G30" i="14"/>
  <c r="G30" i="11"/>
  <c r="G74" i="10"/>
  <c r="H74" i="10" l="1"/>
  <c r="C74" i="10"/>
  <c r="H30" i="11"/>
  <c r="H30" i="14"/>
  <c r="C30" i="11"/>
  <c r="H72" i="12"/>
  <c r="C30" i="14"/>
  <c r="C29" i="14"/>
  <c r="J6" i="11"/>
  <c r="C72" i="12"/>
  <c r="C71" i="12"/>
  <c r="G71" i="12" s="1"/>
  <c r="D5" i="12"/>
  <c r="J37" i="11" l="1"/>
  <c r="J37" i="14"/>
  <c r="M20" i="11" l="1"/>
  <c r="D20" i="11" l="1"/>
  <c r="C20" i="11"/>
  <c r="G20" i="11" s="1"/>
  <c r="H20" i="11" s="1"/>
  <c r="D20" i="14"/>
  <c r="C20" i="14"/>
  <c r="G20" i="14" s="1"/>
  <c r="H20" i="14" s="1"/>
  <c r="J6" i="10" l="1"/>
  <c r="G37" i="14" l="1"/>
  <c r="G37" i="11"/>
  <c r="G70" i="14"/>
  <c r="H70" i="14" s="1"/>
  <c r="C70" i="14"/>
  <c r="C26" i="11" l="1"/>
  <c r="C3" i="11"/>
  <c r="G47" i="14" l="1"/>
  <c r="G48" i="14"/>
  <c r="H42" i="12"/>
  <c r="D42" i="12"/>
  <c r="H47" i="14"/>
  <c r="D47" i="14"/>
  <c r="H47" i="11"/>
  <c r="D47" i="11"/>
  <c r="H42" i="10"/>
  <c r="D42" i="10"/>
  <c r="N4" i="10" l="1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21" i="10"/>
  <c r="N22" i="10"/>
  <c r="N23" i="10"/>
  <c r="N24" i="10"/>
  <c r="N25" i="10"/>
  <c r="N26" i="10"/>
  <c r="N3" i="10"/>
  <c r="M4" i="11"/>
  <c r="M5" i="11"/>
  <c r="M6" i="11"/>
  <c r="M7" i="11"/>
  <c r="M8" i="11"/>
  <c r="M9" i="11"/>
  <c r="M10" i="11"/>
  <c r="M11" i="11"/>
  <c r="M14" i="11"/>
  <c r="M15" i="11"/>
  <c r="M16" i="11"/>
  <c r="M17" i="11"/>
  <c r="M18" i="11"/>
  <c r="M19" i="11"/>
  <c r="M3" i="11"/>
  <c r="M21" i="11" l="1"/>
  <c r="N30" i="10"/>
  <c r="O30" i="10" s="1"/>
  <c r="C73" i="10"/>
  <c r="G44" i="10" l="1"/>
  <c r="B32" i="10"/>
  <c r="D32" i="10" s="1"/>
  <c r="G36" i="10"/>
  <c r="G45" i="10"/>
  <c r="G53" i="10"/>
  <c r="G37" i="10"/>
  <c r="G47" i="10"/>
  <c r="G49" i="10"/>
  <c r="G58" i="10"/>
  <c r="G38" i="10"/>
  <c r="G39" i="10"/>
  <c r="G40" i="10"/>
  <c r="G42" i="10"/>
  <c r="G51" i="10"/>
  <c r="G59" i="10"/>
  <c r="G60" i="10"/>
  <c r="G54" i="10"/>
  <c r="G35" i="10"/>
  <c r="G48" i="10"/>
  <c r="G41" i="10"/>
  <c r="G43" i="10"/>
  <c r="G52" i="10"/>
  <c r="G46" i="10"/>
  <c r="G55" i="10"/>
  <c r="G56" i="10"/>
  <c r="G57" i="10"/>
  <c r="G50" i="10"/>
  <c r="C29" i="11"/>
  <c r="G29" i="11" s="1"/>
  <c r="H29" i="11" s="1"/>
  <c r="C72" i="10"/>
  <c r="H71" i="12"/>
  <c r="G29" i="14"/>
  <c r="H29" i="14" s="1"/>
  <c r="C71" i="10"/>
  <c r="G73" i="10"/>
  <c r="H73" i="10" s="1"/>
  <c r="G62" i="10" l="1"/>
  <c r="F82" i="10"/>
  <c r="G82" i="10"/>
  <c r="H82" i="10" s="1"/>
  <c r="C82" i="10"/>
  <c r="C72" i="11"/>
  <c r="G72" i="11"/>
  <c r="H72" i="11" s="1"/>
  <c r="C75" i="10" l="1"/>
  <c r="D4" i="12" l="1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21" i="12"/>
  <c r="D22" i="12"/>
  <c r="D24" i="12"/>
  <c r="D25" i="12"/>
  <c r="D26" i="12"/>
  <c r="D27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21" i="12"/>
  <c r="C22" i="12"/>
  <c r="C23" i="12"/>
  <c r="C24" i="12"/>
  <c r="C25" i="12"/>
  <c r="C26" i="12"/>
  <c r="C27" i="12"/>
  <c r="G27" i="12" s="1"/>
  <c r="D3" i="12"/>
  <c r="C3" i="12"/>
  <c r="G68" i="14"/>
  <c r="G71" i="14"/>
  <c r="G72" i="14"/>
  <c r="G73" i="14"/>
  <c r="G69" i="14"/>
  <c r="D41" i="14"/>
  <c r="D42" i="14"/>
  <c r="D43" i="14"/>
  <c r="D44" i="14"/>
  <c r="D45" i="14"/>
  <c r="D46" i="14"/>
  <c r="D48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40" i="14"/>
  <c r="C31" i="14" l="1"/>
  <c r="C28" i="14"/>
  <c r="C27" i="11"/>
  <c r="C27" i="14"/>
  <c r="C26" i="14"/>
  <c r="D4" i="14"/>
  <c r="D5" i="14"/>
  <c r="D6" i="14"/>
  <c r="D7" i="14"/>
  <c r="D8" i="14"/>
  <c r="D9" i="14"/>
  <c r="D10" i="14"/>
  <c r="D11" i="14"/>
  <c r="D14" i="14"/>
  <c r="D15" i="14"/>
  <c r="D17" i="14"/>
  <c r="D18" i="14"/>
  <c r="D19" i="14"/>
  <c r="D3" i="14"/>
  <c r="C16" i="14"/>
  <c r="C17" i="14"/>
  <c r="C18" i="14"/>
  <c r="C19" i="14"/>
  <c r="C4" i="14"/>
  <c r="C5" i="14"/>
  <c r="C6" i="14"/>
  <c r="C7" i="14"/>
  <c r="C8" i="14"/>
  <c r="C9" i="14"/>
  <c r="C10" i="14"/>
  <c r="C11" i="14"/>
  <c r="C14" i="14"/>
  <c r="C15" i="14"/>
  <c r="C3" i="14"/>
  <c r="C69" i="11" l="1"/>
  <c r="C68" i="11"/>
  <c r="D41" i="11"/>
  <c r="D42" i="11"/>
  <c r="D43" i="11"/>
  <c r="D44" i="11"/>
  <c r="D45" i="11"/>
  <c r="D46" i="11"/>
  <c r="D48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40" i="11"/>
  <c r="C34" i="11" l="1"/>
  <c r="C31" i="11"/>
  <c r="C28" i="11"/>
  <c r="C16" i="11"/>
  <c r="D4" i="11"/>
  <c r="D5" i="11"/>
  <c r="D6" i="11"/>
  <c r="D7" i="11"/>
  <c r="D8" i="11"/>
  <c r="D9" i="11"/>
  <c r="D10" i="11"/>
  <c r="D11" i="11"/>
  <c r="D14" i="11"/>
  <c r="D15" i="11"/>
  <c r="D17" i="11"/>
  <c r="D18" i="11"/>
  <c r="D19" i="11"/>
  <c r="D3" i="11"/>
  <c r="C4" i="11"/>
  <c r="C5" i="11"/>
  <c r="C6" i="11"/>
  <c r="C7" i="11"/>
  <c r="C8" i="11"/>
  <c r="C9" i="11"/>
  <c r="C10" i="11"/>
  <c r="C11" i="11"/>
  <c r="C14" i="11"/>
  <c r="C15" i="11"/>
  <c r="C17" i="11"/>
  <c r="C18" i="11"/>
  <c r="C19" i="11"/>
  <c r="C70" i="10"/>
  <c r="C69" i="10"/>
  <c r="C66" i="10"/>
  <c r="C65" i="10"/>
  <c r="D36" i="10"/>
  <c r="D37" i="10"/>
  <c r="D38" i="10"/>
  <c r="D39" i="10"/>
  <c r="D40" i="10"/>
  <c r="D41" i="10"/>
  <c r="D43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35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21" i="10"/>
  <c r="D22" i="10"/>
  <c r="D24" i="10"/>
  <c r="D25" i="10"/>
  <c r="D26" i="10"/>
  <c r="D28" i="10"/>
  <c r="G28" i="10" s="1"/>
  <c r="D3" i="10"/>
  <c r="C3" i="10"/>
  <c r="C23" i="10"/>
  <c r="C24" i="10"/>
  <c r="C25" i="10"/>
  <c r="C26" i="10"/>
  <c r="C28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21" i="10"/>
  <c r="C22" i="10"/>
  <c r="J28" i="10" l="1"/>
  <c r="G32" i="12"/>
  <c r="G23" i="14" l="1"/>
  <c r="F81" i="10" l="1"/>
  <c r="F80" i="10"/>
  <c r="H56" i="10" l="1"/>
  <c r="H56" i="12"/>
  <c r="D56" i="12"/>
  <c r="H43" i="12" l="1"/>
  <c r="D43" i="12"/>
  <c r="H48" i="14"/>
  <c r="H48" i="11"/>
  <c r="H43" i="10"/>
  <c r="G17" i="14" l="1"/>
  <c r="H17" i="14" s="1"/>
  <c r="G10" i="14"/>
  <c r="H10" i="14" s="1"/>
  <c r="G11" i="14"/>
  <c r="H11" i="14" s="1"/>
  <c r="G10" i="11"/>
  <c r="H10" i="11" s="1"/>
  <c r="G11" i="11"/>
  <c r="H11" i="11" s="1"/>
  <c r="G14" i="11"/>
  <c r="H14" i="11" s="1"/>
  <c r="G15" i="11"/>
  <c r="H15" i="11" s="1"/>
  <c r="G17" i="11"/>
  <c r="H17" i="11" s="1"/>
  <c r="C67" i="12" l="1"/>
  <c r="G67" i="12" s="1"/>
  <c r="C70" i="12" l="1"/>
  <c r="G70" i="12" s="1"/>
  <c r="C69" i="12"/>
  <c r="G68" i="12" l="1"/>
  <c r="G27" i="11" l="1"/>
  <c r="G70" i="10"/>
  <c r="G27" i="14"/>
  <c r="H77" i="14" l="1"/>
  <c r="H81" i="14"/>
  <c r="G79" i="14"/>
  <c r="G80" i="14" s="1"/>
  <c r="H80" i="14" s="1"/>
  <c r="H73" i="14"/>
  <c r="C73" i="14"/>
  <c r="A73" i="14"/>
  <c r="H72" i="14"/>
  <c r="C72" i="14"/>
  <c r="A72" i="14"/>
  <c r="C71" i="14"/>
  <c r="A71" i="14"/>
  <c r="C69" i="14"/>
  <c r="A69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6" i="14"/>
  <c r="H45" i="14"/>
  <c r="H44" i="14"/>
  <c r="H43" i="14"/>
  <c r="H42" i="14"/>
  <c r="H41" i="14"/>
  <c r="H40" i="14"/>
  <c r="G38" i="14"/>
  <c r="G31" i="14"/>
  <c r="H31" i="14" s="1"/>
  <c r="G28" i="14"/>
  <c r="H28" i="14" s="1"/>
  <c r="H27" i="14"/>
  <c r="G26" i="14"/>
  <c r="H26" i="14" s="1"/>
  <c r="H23" i="14"/>
  <c r="G19" i="14"/>
  <c r="H19" i="14" s="1"/>
  <c r="G18" i="14"/>
  <c r="H18" i="14" s="1"/>
  <c r="G16" i="14"/>
  <c r="H16" i="14" s="1"/>
  <c r="G15" i="14"/>
  <c r="H15" i="14" s="1"/>
  <c r="G14" i="14"/>
  <c r="H14" i="14" s="1"/>
  <c r="G9" i="14"/>
  <c r="H9" i="14" s="1"/>
  <c r="G8" i="14"/>
  <c r="H8" i="14" s="1"/>
  <c r="G7" i="14"/>
  <c r="H7" i="14" s="1"/>
  <c r="G6" i="14"/>
  <c r="H6" i="14" s="1"/>
  <c r="G5" i="14"/>
  <c r="H5" i="14" s="1"/>
  <c r="G4" i="14"/>
  <c r="H4" i="14" s="1"/>
  <c r="G3" i="14"/>
  <c r="G21" i="14" l="1"/>
  <c r="G83" i="14"/>
  <c r="H71" i="14"/>
  <c r="G74" i="14"/>
  <c r="H65" i="14"/>
  <c r="H39" i="14" s="1"/>
  <c r="H79" i="14"/>
  <c r="G41" i="14"/>
  <c r="G45" i="14"/>
  <c r="G44" i="14"/>
  <c r="G51" i="14"/>
  <c r="G55" i="14"/>
  <c r="G59" i="14"/>
  <c r="G43" i="14"/>
  <c r="G50" i="14"/>
  <c r="G54" i="14"/>
  <c r="G58" i="14"/>
  <c r="G62" i="14"/>
  <c r="G52" i="14"/>
  <c r="G42" i="14"/>
  <c r="G46" i="14"/>
  <c r="G53" i="14"/>
  <c r="G57" i="14"/>
  <c r="H37" i="14"/>
  <c r="H38" i="14"/>
  <c r="H36" i="14"/>
  <c r="G32" i="14"/>
  <c r="H69" i="14"/>
  <c r="H3" i="14"/>
  <c r="H82" i="14" l="1"/>
  <c r="H83" i="14"/>
  <c r="G61" i="14"/>
  <c r="G40" i="14"/>
  <c r="G60" i="14"/>
  <c r="G56" i="14"/>
  <c r="G34" i="14"/>
  <c r="H74" i="14"/>
  <c r="H2" i="14"/>
  <c r="H21" i="14"/>
  <c r="G24" i="14"/>
  <c r="H24" i="14" s="1"/>
  <c r="H22" i="14" s="1"/>
  <c r="H32" i="14"/>
  <c r="H25" i="14" s="1"/>
  <c r="G65" i="14" l="1"/>
  <c r="G75" i="14" s="1"/>
  <c r="H68" i="14"/>
  <c r="H66" i="14"/>
  <c r="H67" i="14"/>
  <c r="H34" i="14"/>
  <c r="G35" i="14"/>
  <c r="H35" i="14" s="1"/>
  <c r="H33" i="14" s="1"/>
  <c r="J24" i="12"/>
  <c r="J18" i="12"/>
  <c r="G76" i="14" l="1"/>
  <c r="G78" i="14" s="1"/>
  <c r="G86" i="14" s="1"/>
  <c r="H75" i="14"/>
  <c r="H54" i="12"/>
  <c r="H55" i="12"/>
  <c r="H57" i="12"/>
  <c r="H85" i="12"/>
  <c r="H76" i="14" l="1"/>
  <c r="G84" i="14"/>
  <c r="H87" i="10"/>
  <c r="D54" i="12"/>
  <c r="H80" i="11"/>
  <c r="G28" i="11"/>
  <c r="G31" i="11"/>
  <c r="G26" i="11"/>
  <c r="H54" i="10"/>
  <c r="H78" i="14" l="1"/>
  <c r="H86" i="14"/>
  <c r="H88" i="10"/>
  <c r="G32" i="11"/>
  <c r="G72" i="10"/>
  <c r="G75" i="10"/>
  <c r="G69" i="10"/>
  <c r="G85" i="10"/>
  <c r="H77" i="10"/>
  <c r="H84" i="14" l="1"/>
  <c r="G85" i="14"/>
  <c r="H85" i="14" s="1"/>
  <c r="G89" i="10"/>
  <c r="H89" i="10" s="1"/>
  <c r="G82" i="11"/>
  <c r="H82" i="11" s="1"/>
  <c r="H81" i="11"/>
  <c r="G69" i="11" l="1"/>
  <c r="G66" i="10"/>
  <c r="G5" i="10" l="1"/>
  <c r="J5" i="10" s="1"/>
  <c r="G10" i="10"/>
  <c r="J10" i="10" s="1"/>
  <c r="G78" i="11" l="1"/>
  <c r="G86" i="10" l="1"/>
  <c r="H73" i="12" l="1"/>
  <c r="H31" i="11"/>
  <c r="C73" i="12"/>
  <c r="G4" i="12"/>
  <c r="G5" i="12"/>
  <c r="G6" i="12"/>
  <c r="G7" i="12"/>
  <c r="G8" i="12"/>
  <c r="G9" i="12"/>
  <c r="G10" i="12"/>
  <c r="J10" i="12" s="1"/>
  <c r="G11" i="12"/>
  <c r="G12" i="12"/>
  <c r="G13" i="12"/>
  <c r="G14" i="12"/>
  <c r="G15" i="12"/>
  <c r="G16" i="12"/>
  <c r="G17" i="12"/>
  <c r="G18" i="12"/>
  <c r="G21" i="12"/>
  <c r="G22" i="12"/>
  <c r="G23" i="12"/>
  <c r="G24" i="12"/>
  <c r="G25" i="12"/>
  <c r="G26" i="12"/>
  <c r="H27" i="12"/>
  <c r="G16" i="11" l="1"/>
  <c r="H16" i="11" s="1"/>
  <c r="G19" i="11"/>
  <c r="H19" i="11" s="1"/>
  <c r="G9" i="11"/>
  <c r="G8" i="11"/>
  <c r="H75" i="10"/>
  <c r="G32" i="10" l="1"/>
  <c r="G65" i="10"/>
  <c r="G67" i="10" s="1"/>
  <c r="G23" i="10"/>
  <c r="G18" i="10" l="1"/>
  <c r="G21" i="10"/>
  <c r="G22" i="10"/>
  <c r="H28" i="10"/>
  <c r="D36" i="12" l="1"/>
  <c r="D37" i="12"/>
  <c r="D38" i="12"/>
  <c r="D39" i="12"/>
  <c r="D40" i="12"/>
  <c r="D41" i="12"/>
  <c r="D45" i="12"/>
  <c r="D46" i="12"/>
  <c r="D47" i="12"/>
  <c r="D48" i="12"/>
  <c r="D49" i="12"/>
  <c r="D50" i="12"/>
  <c r="D51" i="12"/>
  <c r="D52" i="12"/>
  <c r="D53" i="12"/>
  <c r="D55" i="12"/>
  <c r="D57" i="12"/>
  <c r="D58" i="12"/>
  <c r="D59" i="12"/>
  <c r="D35" i="12"/>
  <c r="H58" i="12"/>
  <c r="H59" i="12"/>
  <c r="H35" i="10"/>
  <c r="N21" i="11" l="1"/>
  <c r="G49" i="11" l="1"/>
  <c r="G63" i="11"/>
  <c r="G23" i="11"/>
  <c r="G47" i="11"/>
  <c r="G68" i="11"/>
  <c r="G70" i="11" s="1"/>
  <c r="G48" i="11"/>
  <c r="G41" i="11"/>
  <c r="G45" i="11"/>
  <c r="G52" i="11"/>
  <c r="G59" i="11"/>
  <c r="G51" i="11"/>
  <c r="G58" i="11"/>
  <c r="G42" i="11"/>
  <c r="G46" i="11"/>
  <c r="G53" i="11"/>
  <c r="G56" i="11"/>
  <c r="G60" i="11"/>
  <c r="G55" i="11"/>
  <c r="G43" i="11"/>
  <c r="G50" i="11"/>
  <c r="G54" i="11"/>
  <c r="G57" i="11"/>
  <c r="G61" i="11"/>
  <c r="G44" i="11"/>
  <c r="G62" i="11"/>
  <c r="H46" i="11"/>
  <c r="H41" i="10"/>
  <c r="H8" i="11"/>
  <c r="G8" i="10"/>
  <c r="H8" i="10" s="1"/>
  <c r="G24" i="11" l="1"/>
  <c r="A79" i="10"/>
  <c r="A80" i="10"/>
  <c r="C80" i="10" s="1"/>
  <c r="A81" i="10"/>
  <c r="C81" i="10" s="1"/>
  <c r="A78" i="10"/>
  <c r="H32" i="12"/>
  <c r="A73" i="11"/>
  <c r="C73" i="11" s="1"/>
  <c r="A74" i="11"/>
  <c r="C74" i="11" s="1"/>
  <c r="A75" i="11"/>
  <c r="C75" i="11" s="1"/>
  <c r="A71" i="11"/>
  <c r="C71" i="11" s="1"/>
  <c r="G75" i="11"/>
  <c r="H75" i="11" s="1"/>
  <c r="G74" i="11"/>
  <c r="H74" i="11" s="1"/>
  <c r="G73" i="11"/>
  <c r="H73" i="11" s="1"/>
  <c r="G71" i="11"/>
  <c r="H23" i="11"/>
  <c r="G80" i="10"/>
  <c r="H80" i="10" s="1"/>
  <c r="G7" i="10"/>
  <c r="H7" i="10" s="1"/>
  <c r="C79" i="10" l="1"/>
  <c r="F79" i="10"/>
  <c r="C78" i="10"/>
  <c r="F78" i="10"/>
  <c r="G76" i="11"/>
  <c r="H76" i="11" s="1"/>
  <c r="H71" i="11"/>
  <c r="G7" i="11"/>
  <c r="H7" i="11" s="1"/>
  <c r="H32" i="10"/>
  <c r="G3" i="11"/>
  <c r="G33" i="10" l="1"/>
  <c r="G33" i="12"/>
  <c r="H24" i="11"/>
  <c r="H22" i="11" s="1"/>
  <c r="H33" i="12" l="1"/>
  <c r="H31" i="12" s="1"/>
  <c r="H33" i="10"/>
  <c r="H31" i="10" s="1"/>
  <c r="G34" i="11" l="1"/>
  <c r="G35" i="11" s="1"/>
  <c r="H21" i="12"/>
  <c r="H21" i="10"/>
  <c r="G18" i="11" l="1"/>
  <c r="H18" i="11" s="1"/>
  <c r="H9" i="11"/>
  <c r="H18" i="12" l="1"/>
  <c r="H18" i="10"/>
  <c r="H81" i="12" l="1"/>
  <c r="H35" i="12" l="1"/>
  <c r="G3" i="12"/>
  <c r="G30" i="12" s="1"/>
  <c r="G40" i="11"/>
  <c r="G65" i="11" s="1"/>
  <c r="G4" i="11" l="1"/>
  <c r="G5" i="11"/>
  <c r="G6" i="11"/>
  <c r="G21" i="11" l="1"/>
  <c r="G4" i="10"/>
  <c r="G9" i="10"/>
  <c r="G11" i="10"/>
  <c r="G12" i="10"/>
  <c r="G14" i="10"/>
  <c r="G15" i="10"/>
  <c r="G16" i="10"/>
  <c r="G24" i="10"/>
  <c r="G25" i="10"/>
  <c r="G26" i="10"/>
  <c r="G3" i="10"/>
  <c r="H21" i="11" l="1"/>
  <c r="G13" i="10"/>
  <c r="G17" i="10"/>
  <c r="G6" i="10"/>
  <c r="H64" i="12"/>
  <c r="H36" i="12"/>
  <c r="H37" i="12"/>
  <c r="H38" i="12"/>
  <c r="H39" i="12"/>
  <c r="H40" i="12"/>
  <c r="H41" i="12"/>
  <c r="H45" i="12"/>
  <c r="H46" i="12"/>
  <c r="H47" i="12"/>
  <c r="H48" i="12"/>
  <c r="H49" i="12"/>
  <c r="H50" i="12"/>
  <c r="H51" i="12"/>
  <c r="H52" i="12"/>
  <c r="H53" i="12"/>
  <c r="G30" i="10" l="1"/>
  <c r="H62" i="12"/>
  <c r="H34" i="12" s="1"/>
  <c r="H65" i="12"/>
  <c r="H63" i="12"/>
  <c r="H41" i="11"/>
  <c r="H42" i="11"/>
  <c r="H43" i="11"/>
  <c r="H44" i="11"/>
  <c r="H45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40" i="11"/>
  <c r="H65" i="11" l="1"/>
  <c r="H39" i="11" s="1"/>
  <c r="H36" i="10"/>
  <c r="H37" i="10"/>
  <c r="H38" i="10"/>
  <c r="H39" i="10"/>
  <c r="H40" i="10"/>
  <c r="H45" i="10"/>
  <c r="H46" i="10"/>
  <c r="H47" i="10"/>
  <c r="H48" i="10"/>
  <c r="H49" i="10"/>
  <c r="H50" i="10"/>
  <c r="H51" i="10"/>
  <c r="H52" i="10"/>
  <c r="H53" i="10"/>
  <c r="H55" i="10"/>
  <c r="H57" i="10"/>
  <c r="H58" i="10"/>
  <c r="H59" i="10"/>
  <c r="H34" i="10" l="1"/>
  <c r="H62" i="10" s="1"/>
  <c r="G74" i="12" l="1"/>
  <c r="H70" i="12" l="1"/>
  <c r="H69" i="12"/>
  <c r="G71" i="10"/>
  <c r="G76" i="10" s="1"/>
  <c r="H37" i="11" l="1"/>
  <c r="G38" i="11"/>
  <c r="H68" i="10"/>
  <c r="H69" i="11"/>
  <c r="H68" i="11"/>
  <c r="H66" i="10"/>
  <c r="G77" i="11" l="1"/>
  <c r="G85" i="11" s="1"/>
  <c r="H38" i="11"/>
  <c r="H36" i="11" s="1"/>
  <c r="C68" i="12"/>
  <c r="H68" i="12" s="1"/>
  <c r="H4" i="12"/>
  <c r="H5" i="12"/>
  <c r="H6" i="12"/>
  <c r="H9" i="12"/>
  <c r="H10" i="12"/>
  <c r="H11" i="12"/>
  <c r="H12" i="12"/>
  <c r="H13" i="12"/>
  <c r="H14" i="12"/>
  <c r="H15" i="12"/>
  <c r="H16" i="12"/>
  <c r="H17" i="12"/>
  <c r="H22" i="12"/>
  <c r="H23" i="12"/>
  <c r="H24" i="12"/>
  <c r="H25" i="12"/>
  <c r="H26" i="12"/>
  <c r="H3" i="12"/>
  <c r="G65" i="12"/>
  <c r="H28" i="11"/>
  <c r="H67" i="12" l="1"/>
  <c r="G76" i="12"/>
  <c r="G78" i="12" s="1"/>
  <c r="H70" i="11"/>
  <c r="H67" i="11"/>
  <c r="H66" i="11"/>
  <c r="G79" i="12"/>
  <c r="G80" i="12" s="1"/>
  <c r="H80" i="12" l="1"/>
  <c r="H30" i="12"/>
  <c r="H2" i="12"/>
  <c r="H74" i="12"/>
  <c r="H66" i="12"/>
  <c r="G82" i="12" l="1"/>
  <c r="G90" i="12" s="1"/>
  <c r="H78" i="12"/>
  <c r="H75" i="12"/>
  <c r="H76" i="12"/>
  <c r="H90" i="12" l="1"/>
  <c r="H77" i="12"/>
  <c r="H79" i="12" l="1"/>
  <c r="H27" i="11"/>
  <c r="H6" i="11"/>
  <c r="H5" i="11"/>
  <c r="H4" i="11"/>
  <c r="H3" i="11"/>
  <c r="H26" i="11" l="1"/>
  <c r="H70" i="10"/>
  <c r="G83" i="12"/>
  <c r="H83" i="12" s="1"/>
  <c r="H82" i="12"/>
  <c r="H69" i="10"/>
  <c r="H2" i="11" l="1"/>
  <c r="H32" i="11"/>
  <c r="H25" i="11"/>
  <c r="G84" i="12"/>
  <c r="G81" i="10"/>
  <c r="H81" i="10" s="1"/>
  <c r="G79" i="10"/>
  <c r="G78" i="10"/>
  <c r="H72" i="10"/>
  <c r="H26" i="10"/>
  <c r="H25" i="10"/>
  <c r="H24" i="10"/>
  <c r="H23" i="10"/>
  <c r="H22" i="10"/>
  <c r="H17" i="10"/>
  <c r="H16" i="10"/>
  <c r="H15" i="10"/>
  <c r="H14" i="10"/>
  <c r="H13" i="10"/>
  <c r="H12" i="10"/>
  <c r="H11" i="10"/>
  <c r="H10" i="10"/>
  <c r="H9" i="10"/>
  <c r="H6" i="10"/>
  <c r="H5" i="10"/>
  <c r="H4" i="10"/>
  <c r="G83" i="10" l="1"/>
  <c r="G84" i="10" s="1"/>
  <c r="G92" i="10" s="1"/>
  <c r="H78" i="10"/>
  <c r="H84" i="12"/>
  <c r="H79" i="10"/>
  <c r="H76" i="10"/>
  <c r="H34" i="11"/>
  <c r="H3" i="10"/>
  <c r="H71" i="10"/>
  <c r="H92" i="10" l="1"/>
  <c r="G90" i="10"/>
  <c r="G91" i="10" s="1"/>
  <c r="H85" i="11"/>
  <c r="H2" i="10"/>
  <c r="H83" i="10"/>
  <c r="H30" i="10"/>
  <c r="H35" i="11" l="1"/>
  <c r="H33" i="11" s="1"/>
  <c r="H77" i="11" l="1"/>
  <c r="H78" i="11" l="1"/>
  <c r="G79" i="11"/>
  <c r="G83" i="11" l="1"/>
  <c r="H83" i="11" s="1"/>
  <c r="H79" i="11"/>
  <c r="G84" i="11" l="1"/>
  <c r="H84" i="11" s="1"/>
  <c r="H65" i="10" l="1"/>
  <c r="H64" i="10" l="1"/>
  <c r="H63" i="10"/>
  <c r="H67" i="10"/>
  <c r="H84" i="10" l="1"/>
  <c r="H86" i="10" l="1"/>
  <c r="H90" i="10"/>
  <c r="H85" i="10"/>
  <c r="H91" i="10" l="1"/>
  <c r="H86" i="12" l="1"/>
  <c r="G87" i="12"/>
  <c r="G88" i="12" l="1"/>
  <c r="H87" i="12"/>
  <c r="H88" i="12" l="1"/>
  <c r="G89" i="12"/>
  <c r="H89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Sabina Jurek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Sabina Jurek: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 USTALENIE  ZAMAWIANYCH POZYCJI</t>
        </r>
        <r>
          <rPr>
            <sz val="9"/>
            <color indexed="81"/>
            <rFont val="Tahoma"/>
            <family val="2"/>
            <charset val="238"/>
          </rPr>
          <t xml:space="preserve">
Proszę kliknąć w filtr w tym polu
a następnie:
1. Wybrać opcję: Zaznacz wszystko
2. </t>
        </r>
        <r>
          <rPr>
            <b/>
            <sz val="9"/>
            <color indexed="81"/>
            <rFont val="Tahoma"/>
            <family val="2"/>
            <charset val="238"/>
          </rPr>
          <t xml:space="preserve">Ustawiamy odpowiednie wartości </t>
        </r>
        <r>
          <rPr>
            <b/>
            <sz val="9"/>
            <color indexed="10"/>
            <rFont val="Tahoma"/>
            <family val="2"/>
            <charset val="238"/>
          </rPr>
          <t>tylko na konfigurowalnych (żółtych) polach</t>
        </r>
        <r>
          <rPr>
            <sz val="9"/>
            <color indexed="81"/>
            <rFont val="Tahoma"/>
            <family val="2"/>
            <charset val="238"/>
          </rPr>
          <t xml:space="preserve">
3. Po ustawieniu konkretnych wartości klikamy ponownie w filtr i wybieramy opcję 1 (tylko)
4. W efekcie otrzymujemy zwartą tabelkę do wklejenia do oferty dla klienta</t>
        </r>
      </text>
    </comment>
  </commentList>
</comments>
</file>

<file path=xl/sharedStrings.xml><?xml version="1.0" encoding="utf-8"?>
<sst xmlns="http://schemas.openxmlformats.org/spreadsheetml/2006/main" count="967" uniqueCount="237">
  <si>
    <t>Wersja</t>
  </si>
  <si>
    <t>srebro</t>
  </si>
  <si>
    <t>TAK</t>
  </si>
  <si>
    <t>złoto</t>
  </si>
  <si>
    <t>NIE</t>
  </si>
  <si>
    <t>platyna</t>
  </si>
  <si>
    <t>Moduły  dodatkowe</t>
  </si>
  <si>
    <t>Pakiety promocyjne</t>
  </si>
  <si>
    <t xml:space="preserve">Pakiet "Nowa Firma" </t>
  </si>
  <si>
    <t>Pakiet "Nowa Firma Plus"</t>
  </si>
  <si>
    <t xml:space="preserve">Pakiet "Fundacja" </t>
  </si>
  <si>
    <t>Moduł</t>
  </si>
  <si>
    <t>Rodzaj</t>
  </si>
  <si>
    <t>Wartość [netto]</t>
  </si>
  <si>
    <t>SUMA MODUŁY PODSTAWOWE</t>
  </si>
  <si>
    <t>SUMA MODUŁY DODATKOWE</t>
  </si>
  <si>
    <t>SUMA MODUŁY ZEWNĘTRZNE</t>
  </si>
  <si>
    <t>SUMA Pakiety Promocyjne</t>
  </si>
  <si>
    <t xml:space="preserve">Promocje </t>
  </si>
  <si>
    <t>Wartość  upustu dla Klienta netto</t>
  </si>
  <si>
    <t>Wartość  dla Klienta netto</t>
  </si>
  <si>
    <t>Wartość  dla Klienta brutto (z VAT 23%)</t>
  </si>
  <si>
    <t xml:space="preserve">1...5 tabela </t>
  </si>
  <si>
    <t>6...15 tabela</t>
  </si>
  <si>
    <t>ilość</t>
  </si>
  <si>
    <t>Kliknij w filtr</t>
  </si>
  <si>
    <t>cena za 1 szt.</t>
  </si>
  <si>
    <t>WERSJA DLA BIUR RACHUNKOWYCH</t>
  </si>
  <si>
    <t>SUMA MODUŁY Wielofirmowe</t>
  </si>
  <si>
    <t xml:space="preserve"> </t>
  </si>
  <si>
    <t>enova365 Pulpit Kierownika</t>
  </si>
  <si>
    <t>Liczba baz</t>
  </si>
  <si>
    <t xml:space="preserve">SUMA enova365 Pulpit </t>
  </si>
  <si>
    <t>Ilość/zakres</t>
  </si>
  <si>
    <t>Ilość/Zakres</t>
  </si>
  <si>
    <t>TABELE DODATKOWE - ZŁOTO do maks. 15 tabel</t>
  </si>
  <si>
    <t>enova365 Pulpity</t>
  </si>
  <si>
    <t>SUMA enova365 Pulpity</t>
  </si>
  <si>
    <t>0,00*</t>
  </si>
  <si>
    <t>Ilość</t>
  </si>
  <si>
    <t>SUMA MODUŁY Dodatkowe</t>
  </si>
  <si>
    <t>platyna wielofirmowa</t>
  </si>
  <si>
    <t>standard</t>
  </si>
  <si>
    <t>multi</t>
  </si>
  <si>
    <t>Moduły  podstawowe</t>
  </si>
  <si>
    <t>enova365 Jednostki Budżetowe</t>
  </si>
  <si>
    <t>enova365 Elektroniczne Wyciągi Bankowe</t>
  </si>
  <si>
    <t>enova365 Wirtualne Rachunki Bankowe</t>
  </si>
  <si>
    <t>enova365 Importy Księgowe</t>
  </si>
  <si>
    <t>enova365 Eksporty Księgowe</t>
  </si>
  <si>
    <t>enova365 Pracownicy Uczelni</t>
  </si>
  <si>
    <t>enova365 Pracownicy Koszty Projektów</t>
  </si>
  <si>
    <r>
      <t>enova365 Zarządzanie Odzieżą Roboczą (wyposażenie pracownika)</t>
    </r>
    <r>
      <rPr>
        <sz val="8"/>
        <color rgb="FF404040"/>
        <rFont val="Arial"/>
        <family val="2"/>
        <charset val="238"/>
      </rPr>
      <t> </t>
    </r>
  </si>
  <si>
    <t>enova365 SMS</t>
  </si>
  <si>
    <t>enova365 CRM Outlook</t>
  </si>
  <si>
    <t>enova365 EDI</t>
  </si>
  <si>
    <t>enova365 eFaktura GreenMail24</t>
  </si>
  <si>
    <t>Kolor</t>
  </si>
  <si>
    <t>enova365 Pulpit Pracownika</t>
  </si>
  <si>
    <t>Opcja</t>
  </si>
  <si>
    <t>Tabele 1-5</t>
  </si>
  <si>
    <t>Tabele 6-15</t>
  </si>
  <si>
    <t>Tabele dodatkowe</t>
  </si>
  <si>
    <t>Ilość baz Wielofirmowa</t>
  </si>
  <si>
    <t>SUMA enova365 - instalacja podstawowa (5 baz)</t>
  </si>
  <si>
    <t>Dopłata za dodatkowe bazy w instalacji wielofirmowej</t>
  </si>
  <si>
    <t>x</t>
  </si>
  <si>
    <t>WERSJA  1-BAZOWA</t>
  </si>
  <si>
    <t>RAZEM enova365</t>
  </si>
  <si>
    <t>GRATIS</t>
  </si>
  <si>
    <t>enova365 e-mail</t>
  </si>
  <si>
    <t>enova365 Pulpit Kontrahenta</t>
  </si>
  <si>
    <t>enova365 Workflow w Pulpitach</t>
  </si>
  <si>
    <t>enova365 Pulpit Klienta Biura Rachunkowego</t>
  </si>
  <si>
    <t>Suma enova365 Pulpit Klienta Biura Rachunkowego</t>
  </si>
  <si>
    <t>SUMA enova365 Pulpity plus kolejne bazy</t>
  </si>
  <si>
    <t>- łączna ilość baz obsługiwana w instalacji</t>
  </si>
  <si>
    <t>SUMA enova365 Pulpity z bazami</t>
  </si>
  <si>
    <t>Dopłata za użytkowanie enova365 Pulpity w dodatkowych bazach</t>
  </si>
  <si>
    <t>Zakres baz</t>
  </si>
  <si>
    <t>Cena*</t>
  </si>
  <si>
    <t>Kalkulator jest materiałem pomocniczym przy szacowaniu zamówienia,</t>
  </si>
  <si>
    <t>Partner jest odpowiedzialny za przedstawioną Klientowi Ofertę</t>
  </si>
  <si>
    <t>i powinien każdorazowo sprawdzić zgodność cen z aktualnym cennikiem.</t>
  </si>
  <si>
    <t>Cena stanowiska                 [netto zł]</t>
  </si>
  <si>
    <t>Cena stanowiska multi [netto zł]</t>
  </si>
  <si>
    <t>W tym multi</t>
  </si>
  <si>
    <t>enova365 Analizy MS Excel</t>
  </si>
  <si>
    <t>Pakiet "Nowa Firma Pro"</t>
  </si>
  <si>
    <t>BI</t>
  </si>
  <si>
    <t>SUMA BI</t>
  </si>
  <si>
    <t>Pakiety promocyjne BR</t>
  </si>
  <si>
    <t>Pakiet Start</t>
  </si>
  <si>
    <t>Pakiet Standard</t>
  </si>
  <si>
    <t>Pakiet Optymalny</t>
  </si>
  <si>
    <t>Pakiet Rozszerzony</t>
  </si>
  <si>
    <t>enova365 Windykacja BR</t>
  </si>
  <si>
    <t>enova365 Integrator</t>
  </si>
  <si>
    <t>enova365 Edycja kalendarza w Pulpicie Pracownika</t>
  </si>
  <si>
    <t>enova365 Zarządzanie Odzieżą Roboczą (wyposażenie pracownika) </t>
  </si>
  <si>
    <t xml:space="preserve">enova365 Pracownicy Eksportowi </t>
  </si>
  <si>
    <t>enova365 Pracownicy Prokuratury</t>
  </si>
  <si>
    <t>enova365 Rozrachunki Funduszy Pożyczkowych</t>
  </si>
  <si>
    <t>enova365 Czas Pracy</t>
  </si>
  <si>
    <t>enova365 Drukarki etykiet Zebra</t>
  </si>
  <si>
    <t>Wartość dla Klienta netto</t>
  </si>
  <si>
    <t>Wartość dla Klienta brutto (z VAT 23%)</t>
  </si>
  <si>
    <t>enova365 Faktury BR</t>
  </si>
  <si>
    <t>enova365 Kadry Płace</t>
  </si>
  <si>
    <t>enova365 Księga Podatkowa</t>
  </si>
  <si>
    <t>enova365 Księga Handlowa</t>
  </si>
  <si>
    <t>enova365 Księga Inwentarzowa</t>
  </si>
  <si>
    <t>enova365 Ewidencja Środków Pieniężnych dodatkowe stanowisko</t>
  </si>
  <si>
    <t>enova365 Faktury</t>
  </si>
  <si>
    <t>enova365 Handel</t>
  </si>
  <si>
    <t>enova365 Przedstawiciel Handlowy</t>
  </si>
  <si>
    <t>enova365 Produkcja</t>
  </si>
  <si>
    <t>enova365 CRM</t>
  </si>
  <si>
    <t>enova365 Serwis</t>
  </si>
  <si>
    <t>enova365 Szkolenia</t>
  </si>
  <si>
    <t>enova365 Wypożyczalnia</t>
  </si>
  <si>
    <t>enova365 Członkowie</t>
  </si>
  <si>
    <t>enova365 Projekty</t>
  </si>
  <si>
    <t>enova365 Workflow</t>
  </si>
  <si>
    <t>enova365 DMS</t>
  </si>
  <si>
    <t>enova365 Konfigurator Workflow i DMS</t>
  </si>
  <si>
    <t>enova365 Podgląd</t>
  </si>
  <si>
    <t>enova365 Preliminarz EŚP</t>
  </si>
  <si>
    <t>enova365 Delegacje Służbowe</t>
  </si>
  <si>
    <t>enova365 Opis Analityczny Aktywacja</t>
  </si>
  <si>
    <t>enova365 Kadry Płace BR</t>
  </si>
  <si>
    <t>enova365 Księga Podatkowa BR</t>
  </si>
  <si>
    <t>enova365 Księga Handlowa BR</t>
  </si>
  <si>
    <t>enova365 Księga Inwentarzowa BR</t>
  </si>
  <si>
    <t>enova365 Workflow BR</t>
  </si>
  <si>
    <t>enova365 DMS BR</t>
  </si>
  <si>
    <t>enova365 Konfigurator Workflow i DMS BR</t>
  </si>
  <si>
    <t>enova365 Preliminarz EŚP BR</t>
  </si>
  <si>
    <t>enova365 Delegacje Służbowe BR</t>
  </si>
  <si>
    <t>enova365 Integracja OCR</t>
  </si>
  <si>
    <t>Przewidywany koszt Aktualizacji Terminowej enova365</t>
  </si>
  <si>
    <t>indywidualna wycena</t>
  </si>
  <si>
    <t>SUMA enova365 OCR</t>
  </si>
  <si>
    <t>5 000 stron rocznie</t>
  </si>
  <si>
    <t>20 000 stron rocznie</t>
  </si>
  <si>
    <t>40 000 stron rocznie</t>
  </si>
  <si>
    <t>60 000 stron rocznie</t>
  </si>
  <si>
    <t>powyżej 60 000 stron rocznie</t>
  </si>
  <si>
    <t>cena promo</t>
  </si>
  <si>
    <t>cena regular</t>
  </si>
  <si>
    <t>enova365 e-Sklepy Konektor</t>
  </si>
  <si>
    <t xml:space="preserve">Pakiety Promocyjne </t>
  </si>
  <si>
    <t>AT</t>
  </si>
  <si>
    <t>Liczba równoczesnych użytkowników</t>
  </si>
  <si>
    <t>enova365 Windykacja</t>
  </si>
  <si>
    <t>moduły, które działają samodzielnie,
każdy z nich zawiera w sobie dostęp do:
- Ewidencji Środków Pieniężnych
- Ewidencji Dokumentów
- lista Kontrahenci i Urzędy</t>
  </si>
  <si>
    <t>BI (licencja na serwer)</t>
  </si>
  <si>
    <t>MODUŁY DODATKOWE (licencja na serwer)
w licencji platynowej bezpłatne 
- wszystkie moduły podstawowe muszą być platynowe</t>
  </si>
  <si>
    <t>MODUŁY PODSTAWOWE (licencja jednoczesnego dostępu - concurent user)</t>
  </si>
  <si>
    <t>Pulpity (licencja na nazwanego użytkownika)</t>
  </si>
  <si>
    <t>Liczba użytkowników</t>
  </si>
  <si>
    <t>co jest w pakiecie &gt;</t>
  </si>
  <si>
    <t>MODUŁY DODATKOWE
dowolne moduły dodatkowe w cenie</t>
  </si>
  <si>
    <t>TABELE DODATKOWE
nielimitowana liczba tabel dodtakowych w cenie</t>
  </si>
  <si>
    <t>liczba dodatkowych baz - poza pierwszą</t>
  </si>
  <si>
    <t>Pulpity dopłata za korzystanie w kolejnej bazie</t>
  </si>
  <si>
    <t>Dopłata za użytkowanie Pulpitów
w kolejnej bazie</t>
  </si>
  <si>
    <t>SUMA enova365 - instalacja podstawowa (20 baz)</t>
  </si>
  <si>
    <t>do 50 kont</t>
  </si>
  <si>
    <t>do 100 kont</t>
  </si>
  <si>
    <t>do 200 kont</t>
  </si>
  <si>
    <t>do 500 kont</t>
  </si>
  <si>
    <t>do 1000 kont</t>
  </si>
  <si>
    <t>powyżej 1000 kont</t>
  </si>
  <si>
    <t>do 50 baz</t>
  </si>
  <si>
    <t>do 200 baz</t>
  </si>
  <si>
    <t>do 500 baz</t>
  </si>
  <si>
    <t>enova365 CRM BR</t>
  </si>
  <si>
    <t>enova365 Projekty BR</t>
  </si>
  <si>
    <t>enova365 Podgląd BR</t>
  </si>
  <si>
    <t>enova365 Eksporty Dekretów List Płac</t>
  </si>
  <si>
    <t>enova365 Kurierzy</t>
  </si>
  <si>
    <t>enova365 BI</t>
  </si>
  <si>
    <t>BR złoto</t>
  </si>
  <si>
    <t>BR platyna, WF i BRdG</t>
  </si>
  <si>
    <t>SREBRO Standard</t>
  </si>
  <si>
    <t>SREBRO Multi</t>
  </si>
  <si>
    <t>ZŁOTO Standard</t>
  </si>
  <si>
    <t>ZŁOTO Multi</t>
  </si>
  <si>
    <t>PLATYNA Standard</t>
  </si>
  <si>
    <t>PLATYNA Multi</t>
  </si>
  <si>
    <t>PLATYNA WF Standard</t>
  </si>
  <si>
    <t>PLATYNA WF Multi</t>
  </si>
  <si>
    <t>Cena</t>
  </si>
  <si>
    <t>Aktualizacja</t>
  </si>
  <si>
    <t>AO</t>
  </si>
  <si>
    <t>Cena za 1 szt.</t>
  </si>
  <si>
    <t>dopłata za kolejną bazę</t>
  </si>
  <si>
    <t>Pakiet Starter</t>
  </si>
  <si>
    <t>Pakiet "Fundacja PLUS"</t>
  </si>
  <si>
    <t>enova365 BI w Pulpitach</t>
  </si>
  <si>
    <t>enova365 Symmetrical</t>
  </si>
  <si>
    <t>do 1000 baz</t>
  </si>
  <si>
    <t>powyżej 1000 baz</t>
  </si>
  <si>
    <t>Podstawowy miesięczny</t>
  </si>
  <si>
    <t>Rozszerzony miesięczny</t>
  </si>
  <si>
    <t>Pulpit Klienta Biura Rachunkowego dostępny jest WYŁĄCZNIE w wynajmie w abonamencie miesięcznym lub rocznym</t>
  </si>
  <si>
    <t>enova365 Praca na Wielu Bazach</t>
  </si>
  <si>
    <t xml:space="preserve">enova365 Praca na Wielu Bazach </t>
  </si>
  <si>
    <t>roczna nielimitowane stacje</t>
  </si>
  <si>
    <t>10 000 stron rocznie</t>
  </si>
  <si>
    <t>15 000 stron rocznie</t>
  </si>
  <si>
    <t>25 000 stron rocznie</t>
  </si>
  <si>
    <t>30 000 stron rocznie</t>
  </si>
  <si>
    <t>35 000 stron rocznie</t>
  </si>
  <si>
    <t>45 000 stron rocznie</t>
  </si>
  <si>
    <t>50 000 stron rocznie</t>
  </si>
  <si>
    <t>55 000 stron rocznie</t>
  </si>
  <si>
    <t>abonament roczny</t>
  </si>
  <si>
    <t>SUMA enova365 Intergracja OCR</t>
  </si>
  <si>
    <t>SUMA enova365 Integracja OCR</t>
  </si>
  <si>
    <t>enova365 Konsola Produkcyjna</t>
  </si>
  <si>
    <t>niedostępny</t>
  </si>
  <si>
    <t>enova365 Praca Hybrydowa</t>
  </si>
  <si>
    <t>enova365 Praca Hybrydowa BR</t>
  </si>
  <si>
    <t>enova365 Praca Hybrydowa w Pulpitach</t>
  </si>
  <si>
    <t>enova365 WebApi</t>
  </si>
  <si>
    <t>enova365 WMS Konektor</t>
  </si>
  <si>
    <t>enova365 Pakiet Mobilności (kierowcy)</t>
  </si>
  <si>
    <t>enova365 Nieruchomości</t>
  </si>
  <si>
    <t>enova365 Nieruchomości BR</t>
  </si>
  <si>
    <t>enova365 Ewidencja Środków Pieniężnych dodatkowe stanowisko BR</t>
  </si>
  <si>
    <t xml:space="preserve">enova365 Integracja OCR </t>
  </si>
  <si>
    <t xml:space="preserve">Integracja OCR </t>
  </si>
  <si>
    <t>Integracja OCR</t>
  </si>
  <si>
    <t>enova365 Flota</t>
  </si>
  <si>
    <t>enova365 Flota 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</si>
</sst>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zł&quot;* #,##0.00_);_(&quot;zł&quot;* \(#,##0.00\);_(&quot;zł&quot;* &quot;-&quot;??_);_(@_)"/>
    <numFmt numFmtId="166" formatCode="#,##0.00\ &quot;zł&quot;"/>
    <numFmt numFmtId="167" formatCode="_-* #,##0.0000\ _z_ł_-;\-* #,##0.0000\ _z_ł_-;_-* &quot;-&quot;??\ _z_ł_-;_-@_-"/>
    <numFmt numFmtId="168" formatCode="_(* #,##0_);_(* \(#,##0\);_(* &quot;-&quot;??_);_(@_)"/>
  </numFmts>
  <fonts count="3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theme="1"/>
      <name val="Calibri"/>
      <family val="2"/>
      <charset val="238"/>
      <scheme val="minor"/>
    </font>
    <font>
      <sz val="8"/>
      <color rgb="FF40404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sz val="12"/>
      <color theme="0"/>
      <name val="Calibri Light"/>
      <family val="2"/>
      <charset val="238"/>
    </font>
    <font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sz val="12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sz val="11"/>
      <color theme="0"/>
      <name val="Calibri Light"/>
      <family val="2"/>
      <charset val="238"/>
    </font>
    <font>
      <sz val="12"/>
      <name val="Calibri Light"/>
      <family val="2"/>
      <charset val="238"/>
    </font>
    <font>
      <b/>
      <sz val="13"/>
      <color theme="1"/>
      <name val="Calibri Light"/>
      <family val="2"/>
      <charset val="238"/>
    </font>
    <font>
      <sz val="13"/>
      <color theme="1"/>
      <name val="Calibri Light"/>
      <family val="2"/>
      <charset val="238"/>
    </font>
    <font>
      <b/>
      <sz val="13"/>
      <color rgb="FFFF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6" tint="-0.249977111117893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2"/>
      <color rgb="FFC00000"/>
      <name val="Calibri Light"/>
      <family val="2"/>
      <charset val="238"/>
    </font>
    <font>
      <sz val="11"/>
      <color rgb="FFC00000"/>
      <name val="Calibri"/>
      <family val="2"/>
      <charset val="238"/>
      <scheme val="minor"/>
    </font>
    <font>
      <sz val="11"/>
      <name val="Calibri Light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 Light"/>
      <family val="2"/>
      <charset val="238"/>
    </font>
    <font>
      <b/>
      <sz val="12"/>
      <color theme="6" tint="-0.249977111117893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DF8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6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3" fontId="0" fillId="0" borderId="0" xfId="0" applyNumberFormat="1"/>
    <xf numFmtId="0" fontId="1" fillId="6" borderId="0" xfId="0" applyFont="1" applyFill="1"/>
    <xf numFmtId="0" fontId="1" fillId="10" borderId="0" xfId="0" applyFont="1" applyFill="1"/>
    <xf numFmtId="0" fontId="6" fillId="13" borderId="12" xfId="0" applyFont="1" applyFill="1" applyBorder="1" applyAlignment="1">
      <alignment horizontal="center" vertical="center"/>
    </xf>
    <xf numFmtId="0" fontId="6" fillId="13" borderId="13" xfId="0" applyFont="1" applyFill="1" applyBorder="1" applyAlignment="1">
      <alignment horizontal="center" vertical="center"/>
    </xf>
    <xf numFmtId="166" fontId="6" fillId="13" borderId="13" xfId="0" applyNumberFormat="1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/>
    </xf>
    <xf numFmtId="166" fontId="8" fillId="13" borderId="10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3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/>
    </xf>
    <xf numFmtId="0" fontId="9" fillId="0" borderId="0" xfId="0" applyFont="1"/>
    <xf numFmtId="0" fontId="10" fillId="14" borderId="19" xfId="0" applyFont="1" applyFill="1" applyBorder="1" applyAlignment="1">
      <alignment horizontal="center"/>
    </xf>
    <xf numFmtId="4" fontId="10" fillId="8" borderId="6" xfId="0" applyNumberFormat="1" applyFont="1" applyFill="1" applyBorder="1"/>
    <xf numFmtId="0" fontId="10" fillId="14" borderId="6" xfId="0" applyFont="1" applyFill="1" applyBorder="1" applyAlignment="1">
      <alignment horizontal="center"/>
    </xf>
    <xf numFmtId="4" fontId="10" fillId="8" borderId="8" xfId="0" applyNumberFormat="1" applyFont="1" applyFill="1" applyBorder="1"/>
    <xf numFmtId="4" fontId="10" fillId="8" borderId="6" xfId="0" applyNumberFormat="1" applyFont="1" applyFill="1" applyBorder="1" applyAlignment="1">
      <alignment horizontal="right"/>
    </xf>
    <xf numFmtId="4" fontId="10" fillId="8" borderId="6" xfId="0" applyNumberFormat="1" applyFont="1" applyFill="1" applyBorder="1" applyAlignment="1">
      <alignment horizontal="center"/>
    </xf>
    <xf numFmtId="4" fontId="7" fillId="15" borderId="8" xfId="0" applyNumberFormat="1" applyFont="1" applyFill="1" applyBorder="1"/>
    <xf numFmtId="0" fontId="10" fillId="13" borderId="6" xfId="0" applyFont="1" applyFill="1" applyBorder="1"/>
    <xf numFmtId="4" fontId="10" fillId="13" borderId="8" xfId="0" applyNumberFormat="1" applyFont="1" applyFill="1" applyBorder="1"/>
    <xf numFmtId="0" fontId="10" fillId="14" borderId="20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6" xfId="0" applyFont="1" applyFill="1" applyBorder="1"/>
    <xf numFmtId="4" fontId="7" fillId="15" borderId="6" xfId="0" applyNumberFormat="1" applyFont="1" applyFill="1" applyBorder="1"/>
    <xf numFmtId="0" fontId="7" fillId="15" borderId="6" xfId="0" applyFont="1" applyFill="1" applyBorder="1" applyAlignment="1">
      <alignment horizontal="center"/>
    </xf>
    <xf numFmtId="0" fontId="7" fillId="15" borderId="20" xfId="0" applyFont="1" applyFill="1" applyBorder="1" applyAlignment="1">
      <alignment horizontal="center"/>
    </xf>
    <xf numFmtId="4" fontId="10" fillId="13" borderId="6" xfId="0" applyNumberFormat="1" applyFont="1" applyFill="1" applyBorder="1"/>
    <xf numFmtId="0" fontId="10" fillId="13" borderId="20" xfId="0" applyFont="1" applyFill="1" applyBorder="1"/>
    <xf numFmtId="0" fontId="10" fillId="8" borderId="7" xfId="0" applyFont="1" applyFill="1" applyBorder="1" applyAlignment="1">
      <alignment horizontal="center" vertical="center"/>
    </xf>
    <xf numFmtId="0" fontId="10" fillId="8" borderId="6" xfId="0" applyFont="1" applyFill="1" applyBorder="1"/>
    <xf numFmtId="0" fontId="10" fillId="8" borderId="6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7" xfId="0" applyFont="1" applyFill="1" applyBorder="1"/>
    <xf numFmtId="0" fontId="7" fillId="2" borderId="6" xfId="0" applyFont="1" applyFill="1" applyBorder="1"/>
    <xf numFmtId="4" fontId="7" fillId="2" borderId="6" xfId="0" applyNumberFormat="1" applyFont="1" applyFill="1" applyBorder="1"/>
    <xf numFmtId="0" fontId="7" fillId="2" borderId="20" xfId="0" applyFont="1" applyFill="1" applyBorder="1"/>
    <xf numFmtId="4" fontId="7" fillId="2" borderId="8" xfId="0" applyNumberFormat="1" applyFont="1" applyFill="1" applyBorder="1"/>
    <xf numFmtId="0" fontId="7" fillId="2" borderId="7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15" xfId="0" applyFont="1" applyFill="1" applyBorder="1"/>
    <xf numFmtId="0" fontId="7" fillId="7" borderId="28" xfId="0" applyFont="1" applyFill="1" applyBorder="1"/>
    <xf numFmtId="4" fontId="7" fillId="7" borderId="16" xfId="0" applyNumberFormat="1" applyFont="1" applyFill="1" applyBorder="1"/>
    <xf numFmtId="0" fontId="10" fillId="7" borderId="21" xfId="0" applyFont="1" applyFill="1" applyBorder="1"/>
    <xf numFmtId="0" fontId="10" fillId="7" borderId="23" xfId="0" applyFont="1" applyFill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5" xfId="0" applyFont="1" applyBorder="1"/>
    <xf numFmtId="2" fontId="7" fillId="2" borderId="6" xfId="0" applyNumberFormat="1" applyFont="1" applyFill="1" applyBorder="1"/>
    <xf numFmtId="2" fontId="7" fillId="2" borderId="20" xfId="0" applyNumberFormat="1" applyFont="1" applyFill="1" applyBorder="1"/>
    <xf numFmtId="0" fontId="10" fillId="8" borderId="7" xfId="0" applyFont="1" applyFill="1" applyBorder="1" applyAlignment="1">
      <alignment horizontal="center" wrapText="1"/>
    </xf>
    <xf numFmtId="9" fontId="10" fillId="8" borderId="6" xfId="0" applyNumberFormat="1" applyFont="1" applyFill="1" applyBorder="1" applyAlignment="1">
      <alignment vertical="center"/>
    </xf>
    <xf numFmtId="4" fontId="10" fillId="8" borderId="8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" fontId="7" fillId="8" borderId="8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9" fillId="0" borderId="4" xfId="0" applyFont="1" applyBorder="1"/>
    <xf numFmtId="0" fontId="6" fillId="13" borderId="18" xfId="0" applyFont="1" applyFill="1" applyBorder="1" applyAlignment="1">
      <alignment vertical="center"/>
    </xf>
    <xf numFmtId="0" fontId="6" fillId="13" borderId="34" xfId="0" applyFont="1" applyFill="1" applyBorder="1" applyAlignment="1">
      <alignment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20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8" fillId="13" borderId="6" xfId="0" applyFont="1" applyFill="1" applyBorder="1"/>
    <xf numFmtId="0" fontId="13" fillId="13" borderId="8" xfId="0" applyFont="1" applyFill="1" applyBorder="1"/>
    <xf numFmtId="4" fontId="8" fillId="13" borderId="6" xfId="0" applyNumberFormat="1" applyFont="1" applyFill="1" applyBorder="1"/>
    <xf numFmtId="4" fontId="8" fillId="13" borderId="8" xfId="0" applyNumberFormat="1" applyFont="1" applyFill="1" applyBorder="1"/>
    <xf numFmtId="0" fontId="8" fillId="13" borderId="6" xfId="0" applyFont="1" applyFill="1" applyBorder="1" applyAlignment="1">
      <alignment horizontal="center"/>
    </xf>
    <xf numFmtId="4" fontId="8" fillId="13" borderId="20" xfId="0" applyNumberFormat="1" applyFont="1" applyFill="1" applyBorder="1"/>
    <xf numFmtId="0" fontId="8" fillId="13" borderId="20" xfId="0" applyFont="1" applyFill="1" applyBorder="1"/>
    <xf numFmtId="0" fontId="7" fillId="16" borderId="12" xfId="0" applyFont="1" applyFill="1" applyBorder="1"/>
    <xf numFmtId="0" fontId="11" fillId="16" borderId="12" xfId="0" applyFont="1" applyFill="1" applyBorder="1"/>
    <xf numFmtId="0" fontId="11" fillId="16" borderId="13" xfId="0" applyFont="1" applyFill="1" applyBorder="1"/>
    <xf numFmtId="0" fontId="11" fillId="16" borderId="22" xfId="0" applyFont="1" applyFill="1" applyBorder="1"/>
    <xf numFmtId="4" fontId="11" fillId="16" borderId="14" xfId="0" applyNumberFormat="1" applyFont="1" applyFill="1" applyBorder="1"/>
    <xf numFmtId="0" fontId="14" fillId="16" borderId="13" xfId="0" applyFont="1" applyFill="1" applyBorder="1"/>
    <xf numFmtId="0" fontId="14" fillId="16" borderId="22" xfId="0" applyFont="1" applyFill="1" applyBorder="1"/>
    <xf numFmtId="0" fontId="10" fillId="14" borderId="20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4" fontId="10" fillId="8" borderId="7" xfId="0" applyNumberFormat="1" applyFont="1" applyFill="1" applyBorder="1"/>
    <xf numFmtId="0" fontId="10" fillId="2" borderId="6" xfId="0" applyFont="1" applyFill="1" applyBorder="1" applyAlignment="1">
      <alignment horizontal="center"/>
    </xf>
    <xf numFmtId="4" fontId="10" fillId="2" borderId="6" xfId="0" applyNumberFormat="1" applyFont="1" applyFill="1" applyBorder="1"/>
    <xf numFmtId="0" fontId="10" fillId="2" borderId="20" xfId="0" applyFont="1" applyFill="1" applyBorder="1" applyAlignment="1">
      <alignment horizontal="center"/>
    </xf>
    <xf numFmtId="2" fontId="15" fillId="11" borderId="28" xfId="0" applyNumberFormat="1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 vertical="center" wrapText="1"/>
    </xf>
    <xf numFmtId="49" fontId="15" fillId="11" borderId="30" xfId="0" applyNumberFormat="1" applyFont="1" applyFill="1" applyBorder="1" applyAlignment="1">
      <alignment horizontal="left" vertical="center"/>
    </xf>
    <xf numFmtId="0" fontId="7" fillId="11" borderId="28" xfId="0" applyFont="1" applyFill="1" applyBorder="1" applyAlignment="1">
      <alignment horizontal="center"/>
    </xf>
    <xf numFmtId="0" fontId="15" fillId="11" borderId="28" xfId="0" applyFont="1" applyFill="1" applyBorder="1" applyAlignment="1">
      <alignment horizontal="center"/>
    </xf>
    <xf numFmtId="0" fontId="15" fillId="11" borderId="7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/>
    </xf>
    <xf numFmtId="0" fontId="15" fillId="7" borderId="15" xfId="0" applyFont="1" applyFill="1" applyBorder="1"/>
    <xf numFmtId="0" fontId="15" fillId="7" borderId="28" xfId="0" applyFont="1" applyFill="1" applyBorder="1"/>
    <xf numFmtId="4" fontId="15" fillId="7" borderId="16" xfId="0" applyNumberFormat="1" applyFont="1" applyFill="1" applyBorder="1"/>
    <xf numFmtId="0" fontId="16" fillId="7" borderId="21" xfId="0" applyFont="1" applyFill="1" applyBorder="1"/>
    <xf numFmtId="0" fontId="16" fillId="7" borderId="23" xfId="0" applyFont="1" applyFill="1" applyBorder="1"/>
    <xf numFmtId="0" fontId="6" fillId="13" borderId="22" xfId="0" applyFont="1" applyFill="1" applyBorder="1" applyAlignment="1">
      <alignment horizontal="center" vertical="center"/>
    </xf>
    <xf numFmtId="4" fontId="6" fillId="13" borderId="6" xfId="0" applyNumberFormat="1" applyFont="1" applyFill="1" applyBorder="1" applyAlignment="1">
      <alignment horizontal="center" vertical="center"/>
    </xf>
    <xf numFmtId="4" fontId="6" fillId="13" borderId="8" xfId="0" applyNumberFormat="1" applyFont="1" applyFill="1" applyBorder="1"/>
    <xf numFmtId="3" fontId="10" fillId="14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7" fillId="11" borderId="35" xfId="0" applyFont="1" applyFill="1" applyBorder="1" applyAlignment="1">
      <alignment horizontal="left" vertical="center"/>
    </xf>
    <xf numFmtId="0" fontId="15" fillId="11" borderId="28" xfId="0" applyFont="1" applyFill="1" applyBorder="1" applyAlignment="1">
      <alignment horizontal="left"/>
    </xf>
    <xf numFmtId="0" fontId="15" fillId="11" borderId="29" xfId="0" applyFont="1" applyFill="1" applyBorder="1" applyAlignment="1">
      <alignment horizontal="left"/>
    </xf>
    <xf numFmtId="0" fontId="15" fillId="11" borderId="30" xfId="0" applyFont="1" applyFill="1" applyBorder="1" applyAlignment="1">
      <alignment horizontal="left"/>
    </xf>
    <xf numFmtId="0" fontId="10" fillId="8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13" borderId="7" xfId="0" applyFont="1" applyFill="1" applyBorder="1" applyAlignment="1">
      <alignment horizontal="center" vertical="center"/>
    </xf>
    <xf numFmtId="9" fontId="10" fillId="14" borderId="6" xfId="0" applyNumberFormat="1" applyFont="1" applyFill="1" applyBorder="1" applyAlignment="1">
      <alignment horizontal="center"/>
    </xf>
    <xf numFmtId="9" fontId="10" fillId="7" borderId="6" xfId="0" applyNumberFormat="1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4" fontId="10" fillId="7" borderId="8" xfId="0" applyNumberFormat="1" applyFont="1" applyFill="1" applyBorder="1"/>
    <xf numFmtId="0" fontId="15" fillId="14" borderId="6" xfId="0" applyFont="1" applyFill="1" applyBorder="1"/>
    <xf numFmtId="9" fontId="16" fillId="14" borderId="6" xfId="0" applyNumberFormat="1" applyFont="1" applyFill="1" applyBorder="1"/>
    <xf numFmtId="9" fontId="16" fillId="7" borderId="6" xfId="0" applyNumberFormat="1" applyFont="1" applyFill="1" applyBorder="1"/>
    <xf numFmtId="0" fontId="16" fillId="14" borderId="6" xfId="0" applyFont="1" applyFill="1" applyBorder="1" applyAlignment="1">
      <alignment horizontal="center"/>
    </xf>
    <xf numFmtId="0" fontId="16" fillId="7" borderId="6" xfId="0" applyFont="1" applyFill="1" applyBorder="1"/>
    <xf numFmtId="4" fontId="16" fillId="7" borderId="8" xfId="0" applyNumberFormat="1" applyFont="1" applyFill="1" applyBorder="1"/>
    <xf numFmtId="0" fontId="10" fillId="0" borderId="0" xfId="0" applyFont="1"/>
    <xf numFmtId="164" fontId="7" fillId="0" borderId="0" xfId="4" applyFont="1"/>
    <xf numFmtId="164" fontId="10" fillId="0" borderId="0" xfId="4" applyFont="1" applyAlignment="1">
      <alignment horizontal="left"/>
    </xf>
    <xf numFmtId="0" fontId="10" fillId="0" borderId="0" xfId="0" applyFont="1" applyAlignment="1">
      <alignment horizontal="left"/>
    </xf>
    <xf numFmtId="0" fontId="11" fillId="15" borderId="7" xfId="0" applyFont="1" applyFill="1" applyBorder="1" applyAlignment="1">
      <alignment horizontal="center"/>
    </xf>
    <xf numFmtId="0" fontId="10" fillId="15" borderId="10" xfId="0" applyFont="1" applyFill="1" applyBorder="1"/>
    <xf numFmtId="4" fontId="10" fillId="15" borderId="6" xfId="0" applyNumberFormat="1" applyFont="1" applyFill="1" applyBorder="1"/>
    <xf numFmtId="0" fontId="10" fillId="15" borderId="6" xfId="0" applyFont="1" applyFill="1" applyBorder="1" applyAlignment="1">
      <alignment horizontal="center"/>
    </xf>
    <xf numFmtId="0" fontId="10" fillId="15" borderId="20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 vertical="center"/>
    </xf>
    <xf numFmtId="0" fontId="7" fillId="13" borderId="20" xfId="0" applyFont="1" applyFill="1" applyBorder="1" applyAlignment="1">
      <alignment horizontal="center" vertical="center"/>
    </xf>
    <xf numFmtId="164" fontId="10" fillId="0" borderId="0" xfId="4" applyFont="1"/>
    <xf numFmtId="164" fontId="10" fillId="0" borderId="0" xfId="4" applyFont="1" applyFill="1"/>
    <xf numFmtId="0" fontId="10" fillId="14" borderId="6" xfId="0" applyFont="1" applyFill="1" applyBorder="1" applyAlignment="1">
      <alignment horizontal="center" wrapText="1"/>
    </xf>
    <xf numFmtId="0" fontId="10" fillId="16" borderId="13" xfId="0" applyFont="1" applyFill="1" applyBorder="1"/>
    <xf numFmtId="0" fontId="10" fillId="16" borderId="22" xfId="0" applyFont="1" applyFill="1" applyBorder="1"/>
    <xf numFmtId="4" fontId="7" fillId="16" borderId="14" xfId="0" applyNumberFormat="1" applyFont="1" applyFill="1" applyBorder="1"/>
    <xf numFmtId="164" fontId="9" fillId="0" borderId="0" xfId="4" applyFont="1"/>
    <xf numFmtId="164" fontId="18" fillId="0" borderId="0" xfId="4" applyFont="1"/>
    <xf numFmtId="4" fontId="0" fillId="0" borderId="0" xfId="0" applyNumberFormat="1"/>
    <xf numFmtId="0" fontId="10" fillId="12" borderId="6" xfId="0" applyFont="1" applyFill="1" applyBorder="1" applyAlignment="1">
      <alignment horizontal="center"/>
    </xf>
    <xf numFmtId="0" fontId="10" fillId="12" borderId="19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0" fillId="12" borderId="0" xfId="0" applyFill="1"/>
    <xf numFmtId="4" fontId="11" fillId="17" borderId="26" xfId="0" applyNumberFormat="1" applyFont="1" applyFill="1" applyBorder="1"/>
    <xf numFmtId="4" fontId="9" fillId="0" borderId="0" xfId="0" applyNumberFormat="1" applyFont="1"/>
    <xf numFmtId="164" fontId="10" fillId="0" borderId="0" xfId="4" applyFont="1" applyFill="1" applyBorder="1"/>
    <xf numFmtId="9" fontId="10" fillId="0" borderId="0" xfId="0" applyNumberFormat="1" applyFont="1"/>
    <xf numFmtId="164" fontId="10" fillId="0" borderId="0" xfId="0" applyNumberFormat="1" applyFont="1"/>
    <xf numFmtId="4" fontId="7" fillId="0" borderId="0" xfId="0" applyNumberFormat="1" applyFont="1"/>
    <xf numFmtId="4" fontId="10" fillId="0" borderId="0" xfId="0" applyNumberFormat="1" applyFont="1"/>
    <xf numFmtId="0" fontId="7" fillId="0" borderId="0" xfId="0" applyFont="1"/>
    <xf numFmtId="167" fontId="10" fillId="0" borderId="0" xfId="0" applyNumberFormat="1" applyFont="1"/>
    <xf numFmtId="4" fontId="10" fillId="8" borderId="7" xfId="0" applyNumberFormat="1" applyFont="1" applyFill="1" applyBorder="1" applyAlignment="1">
      <alignment wrapText="1"/>
    </xf>
    <xf numFmtId="4" fontId="7" fillId="13" borderId="8" xfId="0" applyNumberFormat="1" applyFont="1" applyFill="1" applyBorder="1"/>
    <xf numFmtId="0" fontId="14" fillId="8" borderId="7" xfId="0" applyFont="1" applyFill="1" applyBorder="1" applyAlignment="1">
      <alignment horizontal="left"/>
    </xf>
    <xf numFmtId="0" fontId="10" fillId="15" borderId="6" xfId="0" applyFont="1" applyFill="1" applyBorder="1"/>
    <xf numFmtId="0" fontId="6" fillId="13" borderId="6" xfId="0" applyFont="1" applyFill="1" applyBorder="1" applyAlignment="1">
      <alignment horizontal="center"/>
    </xf>
    <xf numFmtId="0" fontId="6" fillId="13" borderId="20" xfId="0" applyFont="1" applyFill="1" applyBorder="1" applyAlignment="1">
      <alignment horizontal="center"/>
    </xf>
    <xf numFmtId="0" fontId="16" fillId="0" borderId="0" xfId="0" applyFont="1"/>
    <xf numFmtId="4" fontId="15" fillId="11" borderId="16" xfId="0" applyNumberFormat="1" applyFont="1" applyFill="1" applyBorder="1" applyAlignment="1">
      <alignment horizontal="right" vertical="center"/>
    </xf>
    <xf numFmtId="4" fontId="15" fillId="11" borderId="11" xfId="0" applyNumberFormat="1" applyFont="1" applyFill="1" applyBorder="1" applyAlignment="1">
      <alignment horizontal="right" vertical="center"/>
    </xf>
    <xf numFmtId="2" fontId="15" fillId="11" borderId="15" xfId="0" applyNumberFormat="1" applyFont="1" applyFill="1" applyBorder="1" applyAlignment="1">
      <alignment horizontal="center"/>
    </xf>
    <xf numFmtId="49" fontId="15" fillId="11" borderId="31" xfId="0" applyNumberFormat="1" applyFont="1" applyFill="1" applyBorder="1" applyAlignment="1">
      <alignment horizontal="left" vertical="center"/>
    </xf>
    <xf numFmtId="49" fontId="15" fillId="11" borderId="33" xfId="0" applyNumberFormat="1" applyFont="1" applyFill="1" applyBorder="1" applyAlignment="1">
      <alignment horizontal="left" vertical="center"/>
    </xf>
    <xf numFmtId="0" fontId="10" fillId="14" borderId="33" xfId="0" applyFont="1" applyFill="1" applyBorder="1" applyAlignment="1">
      <alignment horizontal="center"/>
    </xf>
    <xf numFmtId="0" fontId="9" fillId="0" borderId="36" xfId="0" applyFont="1" applyBorder="1"/>
    <xf numFmtId="49" fontId="7" fillId="11" borderId="28" xfId="0" quotePrefix="1" applyNumberFormat="1" applyFont="1" applyFill="1" applyBorder="1" applyAlignment="1">
      <alignment horizontal="left" vertical="center"/>
    </xf>
    <xf numFmtId="4" fontId="15" fillId="11" borderId="16" xfId="0" applyNumberFormat="1" applyFont="1" applyFill="1" applyBorder="1" applyAlignment="1">
      <alignment horizontal="right"/>
    </xf>
    <xf numFmtId="49" fontId="7" fillId="11" borderId="29" xfId="0" quotePrefix="1" applyNumberFormat="1" applyFont="1" applyFill="1" applyBorder="1" applyAlignment="1">
      <alignment horizontal="center" vertical="center" wrapText="1"/>
    </xf>
    <xf numFmtId="49" fontId="15" fillId="11" borderId="32" xfId="0" applyNumberFormat="1" applyFont="1" applyFill="1" applyBorder="1" applyAlignment="1">
      <alignment horizontal="left" vertical="center"/>
    </xf>
    <xf numFmtId="168" fontId="9" fillId="0" borderId="0" xfId="4" applyNumberFormat="1" applyFont="1" applyFill="1"/>
    <xf numFmtId="0" fontId="9" fillId="0" borderId="0" xfId="0" quotePrefix="1" applyFont="1"/>
    <xf numFmtId="10" fontId="9" fillId="0" borderId="0" xfId="0" applyNumberFormat="1" applyFont="1"/>
    <xf numFmtId="168" fontId="9" fillId="0" borderId="0" xfId="0" applyNumberFormat="1" applyFont="1"/>
    <xf numFmtId="164" fontId="9" fillId="0" borderId="0" xfId="4" quotePrefix="1" applyFont="1" applyFill="1"/>
    <xf numFmtId="10" fontId="9" fillId="0" borderId="0" xfId="3" applyNumberFormat="1" applyFont="1" applyFill="1"/>
    <xf numFmtId="164" fontId="9" fillId="0" borderId="0" xfId="4" applyFont="1" applyFill="1"/>
    <xf numFmtId="0" fontId="10" fillId="14" borderId="2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10" fillId="8" borderId="6" xfId="0" applyNumberFormat="1" applyFont="1" applyFill="1" applyBorder="1" applyAlignment="1">
      <alignment horizontal="right" wrapText="1"/>
    </xf>
    <xf numFmtId="0" fontId="10" fillId="7" borderId="15" xfId="0" applyFont="1" applyFill="1" applyBorder="1"/>
    <xf numFmtId="9" fontId="10" fillId="7" borderId="15" xfId="0" applyNumberFormat="1" applyFont="1" applyFill="1" applyBorder="1"/>
    <xf numFmtId="4" fontId="12" fillId="7" borderId="16" xfId="0" applyNumberFormat="1" applyFont="1" applyFill="1" applyBorder="1"/>
    <xf numFmtId="4" fontId="10" fillId="8" borderId="8" xfId="0" applyNumberFormat="1" applyFont="1" applyFill="1" applyBorder="1" applyAlignment="1">
      <alignment wrapText="1"/>
    </xf>
    <xf numFmtId="0" fontId="22" fillId="0" borderId="0" xfId="5" applyAlignment="1">
      <alignment vertical="center"/>
    </xf>
    <xf numFmtId="4" fontId="10" fillId="12" borderId="6" xfId="0" applyNumberFormat="1" applyFont="1" applyFill="1" applyBorder="1"/>
    <xf numFmtId="164" fontId="10" fillId="0" borderId="0" xfId="4" applyFont="1" applyAlignment="1">
      <alignment wrapText="1"/>
    </xf>
    <xf numFmtId="2" fontId="10" fillId="0" borderId="0" xfId="4" applyNumberFormat="1" applyFont="1"/>
    <xf numFmtId="2" fontId="10" fillId="0" borderId="0" xfId="4" applyNumberFormat="1" applyFont="1" applyAlignment="1">
      <alignment wrapText="1"/>
    </xf>
    <xf numFmtId="0" fontId="10" fillId="7" borderId="15" xfId="0" applyFont="1" applyFill="1" applyBorder="1" applyAlignment="1">
      <alignment horizontal="left"/>
    </xf>
    <xf numFmtId="9" fontId="10" fillId="7" borderId="15" xfId="0" applyNumberFormat="1" applyFont="1" applyFill="1" applyBorder="1" applyAlignment="1">
      <alignment horizontal="left"/>
    </xf>
    <xf numFmtId="9" fontId="16" fillId="7" borderId="15" xfId="0" applyNumberFormat="1" applyFont="1" applyFill="1" applyBorder="1"/>
    <xf numFmtId="0" fontId="16" fillId="7" borderId="15" xfId="0" applyFont="1" applyFill="1" applyBorder="1"/>
    <xf numFmtId="4" fontId="17" fillId="7" borderId="16" xfId="0" applyNumberFormat="1" applyFont="1" applyFill="1" applyBorder="1"/>
    <xf numFmtId="0" fontId="12" fillId="13" borderId="22" xfId="0" applyFont="1" applyFill="1" applyBorder="1" applyAlignment="1">
      <alignment horizontal="center" vertical="center" wrapText="1"/>
    </xf>
    <xf numFmtId="0" fontId="14" fillId="17" borderId="13" xfId="0" applyFont="1" applyFill="1" applyBorder="1"/>
    <xf numFmtId="4" fontId="23" fillId="12" borderId="7" xfId="0" applyNumberFormat="1" applyFont="1" applyFill="1" applyBorder="1"/>
    <xf numFmtId="4" fontId="23" fillId="8" borderId="7" xfId="0" applyNumberFormat="1" applyFont="1" applyFill="1" applyBorder="1"/>
    <xf numFmtId="164" fontId="23" fillId="0" borderId="0" xfId="4" applyFont="1" applyAlignment="1">
      <alignment vertical="top" wrapText="1"/>
    </xf>
    <xf numFmtId="2" fontId="23" fillId="0" borderId="0" xfId="4" applyNumberFormat="1" applyFont="1" applyAlignment="1">
      <alignment vertical="center" wrapText="1"/>
    </xf>
    <xf numFmtId="2" fontId="12" fillId="0" borderId="0" xfId="4" applyNumberFormat="1" applyFont="1" applyAlignment="1">
      <alignment vertical="center" wrapText="1"/>
    </xf>
    <xf numFmtId="164" fontId="12" fillId="0" borderId="0" xfId="4" applyFont="1" applyAlignment="1">
      <alignment horizontal="left"/>
    </xf>
    <xf numFmtId="0" fontId="24" fillId="0" borderId="0" xfId="0" applyFont="1"/>
    <xf numFmtId="164" fontId="12" fillId="0" borderId="0" xfId="4" applyFont="1" applyAlignment="1">
      <alignment vertical="top" wrapText="1"/>
    </xf>
    <xf numFmtId="4" fontId="10" fillId="8" borderId="27" xfId="0" applyNumberFormat="1" applyFont="1" applyFill="1" applyBorder="1"/>
    <xf numFmtId="0" fontId="7" fillId="2" borderId="10" xfId="0" applyFont="1" applyFill="1" applyBorder="1"/>
    <xf numFmtId="9" fontId="0" fillId="0" borderId="0" xfId="0" applyNumberFormat="1"/>
    <xf numFmtId="4" fontId="20" fillId="0" borderId="0" xfId="0" applyNumberFormat="1" applyFont="1" applyAlignment="1">
      <alignment wrapText="1"/>
    </xf>
    <xf numFmtId="4" fontId="19" fillId="0" borderId="0" xfId="0" applyNumberFormat="1" applyFont="1"/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right"/>
    </xf>
    <xf numFmtId="1" fontId="0" fillId="0" borderId="0" xfId="0" applyNumberFormat="1"/>
    <xf numFmtId="0" fontId="28" fillId="8" borderId="20" xfId="0" applyFont="1" applyFill="1" applyBorder="1" applyAlignment="1">
      <alignment horizontal="center"/>
    </xf>
    <xf numFmtId="0" fontId="29" fillId="0" borderId="0" xfId="0" applyFont="1"/>
    <xf numFmtId="0" fontId="14" fillId="14" borderId="20" xfId="0" applyFont="1" applyFill="1" applyBorder="1" applyAlignment="1">
      <alignment horizontal="center"/>
    </xf>
    <xf numFmtId="4" fontId="14" fillId="8" borderId="6" xfId="0" applyNumberFormat="1" applyFont="1" applyFill="1" applyBorder="1"/>
    <xf numFmtId="0" fontId="14" fillId="14" borderId="6" xfId="0" applyFont="1" applyFill="1" applyBorder="1" applyAlignment="1">
      <alignment horizontal="center"/>
    </xf>
    <xf numFmtId="4" fontId="14" fillId="8" borderId="8" xfId="0" applyNumberFormat="1" applyFont="1" applyFill="1" applyBorder="1"/>
    <xf numFmtId="0" fontId="14" fillId="8" borderId="7" xfId="0" applyFont="1" applyFill="1" applyBorder="1"/>
    <xf numFmtId="0" fontId="30" fillId="0" borderId="0" xfId="0" applyFont="1"/>
    <xf numFmtId="0" fontId="14" fillId="8" borderId="20" xfId="0" applyFont="1" applyFill="1" applyBorder="1" applyAlignment="1">
      <alignment horizontal="center"/>
    </xf>
    <xf numFmtId="0" fontId="31" fillId="4" borderId="0" xfId="0" applyFont="1" applyFill="1"/>
    <xf numFmtId="0" fontId="31" fillId="2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0" fontId="31" fillId="9" borderId="0" xfId="0" applyFont="1" applyFill="1" applyAlignment="1">
      <alignment horizontal="center"/>
    </xf>
    <xf numFmtId="0" fontId="19" fillId="4" borderId="0" xfId="0" applyFont="1" applyFill="1"/>
    <xf numFmtId="0" fontId="31" fillId="4" borderId="41" xfId="0" applyFont="1" applyFill="1" applyBorder="1"/>
    <xf numFmtId="0" fontId="32" fillId="4" borderId="0" xfId="0" applyFont="1" applyFill="1" applyAlignment="1">
      <alignment wrapText="1"/>
    </xf>
    <xf numFmtId="0" fontId="6" fillId="13" borderId="21" xfId="0" applyFont="1" applyFill="1" applyBorder="1" applyAlignment="1">
      <alignment vertical="center"/>
    </xf>
    <xf numFmtId="0" fontId="6" fillId="13" borderId="27" xfId="0" applyFont="1" applyFill="1" applyBorder="1" applyAlignment="1">
      <alignment vertical="center"/>
    </xf>
    <xf numFmtId="0" fontId="6" fillId="13" borderId="19" xfId="0" applyFont="1" applyFill="1" applyBorder="1" applyAlignment="1">
      <alignment vertical="center"/>
    </xf>
    <xf numFmtId="0" fontId="21" fillId="0" borderId="0" xfId="0" quotePrefix="1" applyFont="1"/>
    <xf numFmtId="0" fontId="21" fillId="0" borderId="0" xfId="0" applyFont="1"/>
    <xf numFmtId="0" fontId="33" fillId="0" borderId="0" xfId="0" applyFont="1" applyAlignment="1">
      <alignment wrapText="1"/>
    </xf>
    <xf numFmtId="4" fontId="3" fillId="8" borderId="6" xfId="0" applyNumberFormat="1" applyFont="1" applyFill="1" applyBorder="1" applyAlignment="1">
      <alignment horizontal="right" wrapText="1"/>
    </xf>
    <xf numFmtId="0" fontId="11" fillId="17" borderId="24" xfId="0" applyFont="1" applyFill="1" applyBorder="1"/>
    <xf numFmtId="0" fontId="11" fillId="17" borderId="25" xfId="0" applyFont="1" applyFill="1" applyBorder="1"/>
    <xf numFmtId="164" fontId="12" fillId="0" borderId="0" xfId="4" applyFont="1"/>
    <xf numFmtId="4" fontId="14" fillId="8" borderId="7" xfId="0" applyNumberFormat="1" applyFont="1" applyFill="1" applyBorder="1"/>
    <xf numFmtId="164" fontId="34" fillId="0" borderId="0" xfId="0" applyNumberFormat="1" applyFont="1"/>
    <xf numFmtId="164" fontId="24" fillId="0" borderId="0" xfId="0" applyNumberFormat="1" applyFont="1"/>
    <xf numFmtId="0" fontId="35" fillId="0" borderId="0" xfId="0" applyFont="1"/>
    <xf numFmtId="0" fontId="12" fillId="0" borderId="0" xfId="0" applyFont="1"/>
    <xf numFmtId="0" fontId="0" fillId="4" borderId="0" xfId="0" applyFill="1"/>
    <xf numFmtId="164" fontId="24" fillId="0" borderId="0" xfId="4" applyFont="1"/>
    <xf numFmtId="0" fontId="0" fillId="14" borderId="0" xfId="0" applyFill="1" applyAlignment="1">
      <alignment horizontal="center"/>
    </xf>
    <xf numFmtId="0" fontId="16" fillId="16" borderId="13" xfId="0" applyFont="1" applyFill="1" applyBorder="1"/>
    <xf numFmtId="0" fontId="16" fillId="16" borderId="22" xfId="0" applyFont="1" applyFill="1" applyBorder="1"/>
    <xf numFmtId="4" fontId="15" fillId="16" borderId="14" xfId="0" applyNumberFormat="1" applyFont="1" applyFill="1" applyBorder="1"/>
    <xf numFmtId="0" fontId="7" fillId="16" borderId="13" xfId="0" applyFont="1" applyFill="1" applyBorder="1"/>
    <xf numFmtId="0" fontId="7" fillId="16" borderId="22" xfId="0" applyFont="1" applyFill="1" applyBorder="1"/>
    <xf numFmtId="0" fontId="36" fillId="0" borderId="0" xfId="0" applyFont="1"/>
    <xf numFmtId="4" fontId="37" fillId="0" borderId="0" xfId="0" applyNumberFormat="1" applyFont="1"/>
    <xf numFmtId="0" fontId="6" fillId="13" borderId="21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22" fillId="12" borderId="15" xfId="5" applyFill="1" applyBorder="1" applyAlignment="1">
      <alignment horizontal="center" vertical="center"/>
    </xf>
    <xf numFmtId="0" fontId="22" fillId="12" borderId="39" xfId="5" applyFill="1" applyBorder="1" applyAlignment="1">
      <alignment horizontal="center" vertical="center"/>
    </xf>
    <xf numFmtId="0" fontId="10" fillId="8" borderId="21" xfId="0" applyFont="1" applyFill="1" applyBorder="1" applyAlignment="1">
      <alignment horizontal="left"/>
    </xf>
    <xf numFmtId="0" fontId="10" fillId="8" borderId="27" xfId="0" applyFont="1" applyFill="1" applyBorder="1" applyAlignment="1">
      <alignment horizontal="left"/>
    </xf>
    <xf numFmtId="0" fontId="10" fillId="8" borderId="19" xfId="0" applyFont="1" applyFill="1" applyBorder="1" applyAlignment="1">
      <alignment horizontal="left"/>
    </xf>
    <xf numFmtId="0" fontId="22" fillId="12" borderId="10" xfId="5" applyFill="1" applyBorder="1" applyAlignment="1">
      <alignment horizontal="center" vertical="center"/>
    </xf>
    <xf numFmtId="0" fontId="8" fillId="13" borderId="20" xfId="0" applyFont="1" applyFill="1" applyBorder="1" applyAlignment="1">
      <alignment horizontal="center" wrapText="1"/>
    </xf>
    <xf numFmtId="0" fontId="8" fillId="13" borderId="27" xfId="0" applyFont="1" applyFill="1" applyBorder="1" applyAlignment="1">
      <alignment horizontal="center" wrapText="1"/>
    </xf>
    <xf numFmtId="0" fontId="8" fillId="13" borderId="40" xfId="0" applyFont="1" applyFill="1" applyBorder="1" applyAlignment="1">
      <alignment horizontal="center" wrapText="1"/>
    </xf>
    <xf numFmtId="0" fontId="6" fillId="13" borderId="17" xfId="0" applyFont="1" applyFill="1" applyBorder="1" applyAlignment="1">
      <alignment horizontal="center" vertical="center"/>
    </xf>
    <xf numFmtId="0" fontId="6" fillId="13" borderId="18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 vertical="center" wrapText="1"/>
    </xf>
    <xf numFmtId="0" fontId="11" fillId="17" borderId="24" xfId="0" applyFont="1" applyFill="1" applyBorder="1" applyAlignment="1">
      <alignment horizontal="left"/>
    </xf>
    <xf numFmtId="0" fontId="11" fillId="17" borderId="25" xfId="0" applyFont="1" applyFill="1" applyBorder="1" applyAlignment="1">
      <alignment horizontal="left"/>
    </xf>
    <xf numFmtId="0" fontId="11" fillId="17" borderId="37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left" vertical="center"/>
    </xf>
    <xf numFmtId="49" fontId="7" fillId="2" borderId="29" xfId="0" applyNumberFormat="1" applyFont="1" applyFill="1" applyBorder="1" applyAlignment="1">
      <alignment horizontal="left" vertical="center"/>
    </xf>
    <xf numFmtId="49" fontId="7" fillId="2" borderId="30" xfId="0" applyNumberFormat="1" applyFont="1" applyFill="1" applyBorder="1" applyAlignment="1">
      <alignment horizontal="left" vertical="center"/>
    </xf>
    <xf numFmtId="49" fontId="7" fillId="2" borderId="31" xfId="0" applyNumberFormat="1" applyFont="1" applyFill="1" applyBorder="1" applyAlignment="1">
      <alignment horizontal="center" vertical="center"/>
    </xf>
    <xf numFmtId="49" fontId="7" fillId="2" borderId="32" xfId="0" applyNumberFormat="1" applyFont="1" applyFill="1" applyBorder="1" applyAlignment="1">
      <alignment horizontal="center" vertical="center"/>
    </xf>
    <xf numFmtId="49" fontId="7" fillId="2" borderId="3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8" borderId="35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</cellXfs>
  <cellStyles count="6">
    <cellStyle name="Dziesiętny" xfId="4" builtinId="3"/>
    <cellStyle name="Hiperłącze" xfId="5" builtinId="8"/>
    <cellStyle name="Normalny" xfId="0" builtinId="0"/>
    <cellStyle name="Normalny 2" xfId="1" xr:uid="{00000000-0005-0000-0000-000003000000}"/>
    <cellStyle name="Procentowy" xfId="3" builtinId="5"/>
    <cellStyle name="Walutowy 2" xfId="2" xr:uid="{00000000-0005-0000-0000-000005000000}"/>
  </cellStyles>
  <dxfs count="55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</dxf>
    <dxf>
      <numFmt numFmtId="4" formatCode="#,##0.00"/>
      <fill>
        <patternFill>
          <fgColor indexed="64"/>
          <bgColor rgb="FFFFFF00"/>
        </patternFill>
      </fill>
    </dxf>
    <dxf>
      <numFmt numFmtId="4" formatCode="#,##0.00"/>
      <fill>
        <patternFill>
          <fgColor indexed="64"/>
          <bgColor rgb="FFFFFF00"/>
        </patternFill>
      </fill>
    </dxf>
    <dxf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0" indent="0" justifyLastLine="0" shrinkToFit="0" readingOrder="0"/>
    </dxf>
    <dxf>
      <numFmt numFmtId="4" formatCode="#,##0.00"/>
      <fill>
        <patternFill>
          <fgColor indexed="64"/>
          <bgColor rgb="FFFFFF00"/>
        </patternFill>
      </fill>
    </dxf>
    <dxf>
      <numFmt numFmtId="4" formatCode="#,##0.00"/>
      <fill>
        <patternFill>
          <fgColor indexed="64"/>
          <bgColor rgb="FFFFFF00"/>
        </patternFill>
      </fill>
    </dxf>
    <dxf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4" formatCode="#,##0.0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  <alignment horizontal="general" vertical="bottom" textRotation="0" wrapText="1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6" tint="0.59999389629810485"/>
        </patternFill>
      </fill>
    </dxf>
    <dxf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 Light"/>
        <scheme val="none"/>
      </font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numFmt numFmtId="4" formatCode="#,##0.0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colors>
    <mruColors>
      <color rgb="FFFDF8A6"/>
      <color rgb="FFF2F2F2"/>
      <color rgb="FFD9D9D9"/>
      <color rgb="FF92CDDC"/>
      <color rgb="FFDAEEF3"/>
      <color rgb="FFFFFF66"/>
      <color rgb="FF008080"/>
      <color rgb="FF000080"/>
      <color rgb="FFD8E4BC"/>
      <color rgb="FFE0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duly_podstawowe" displayName="moduly_podstawowe" ref="A5:I32" totalsRowShown="0" headerRowDxfId="54">
  <autoFilter ref="A5:I32" xr:uid="{00000000-0009-0000-0100-000001000000}"/>
  <tableColumns count="9">
    <tableColumn id="1" xr3:uid="{00000000-0010-0000-0000-000001000000}" name="Moduły  podstawowe" dataDxfId="53"/>
    <tableColumn id="2" xr3:uid="{00000000-0010-0000-0000-000002000000}" name="SREBRO Standard" dataDxfId="52"/>
    <tableColumn id="3" xr3:uid="{00000000-0010-0000-0000-000003000000}" name="SREBRO Multi" dataDxfId="51"/>
    <tableColumn id="4" xr3:uid="{00000000-0010-0000-0000-000004000000}" name="ZŁOTO Standard" dataDxfId="50"/>
    <tableColumn id="5" xr3:uid="{00000000-0010-0000-0000-000005000000}" name="ZŁOTO Multi" dataDxfId="49"/>
    <tableColumn id="6" xr3:uid="{00000000-0010-0000-0000-000006000000}" name="PLATYNA Standard" dataDxfId="48"/>
    <tableColumn id="7" xr3:uid="{00000000-0010-0000-0000-000007000000}" name="PLATYNA Multi" dataDxfId="47"/>
    <tableColumn id="8" xr3:uid="{00000000-0010-0000-0000-000008000000}" name="PLATYNA WF Standard" dataDxfId="46"/>
    <tableColumn id="9" xr3:uid="{00000000-0010-0000-0000-000009000000}" name="PLATYNA WF Multi" dataDxfId="4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BI" displayName="BI" ref="A145:E151" totalsRowShown="0" headerRowDxfId="16">
  <autoFilter ref="A145:E151" xr:uid="{00000000-0009-0000-0100-00000A000000}"/>
  <tableColumns count="5">
    <tableColumn id="1" xr3:uid="{00000000-0010-0000-0900-000001000000}" name="BI"/>
    <tableColumn id="2" xr3:uid="{00000000-0010-0000-0900-000002000000}" name="złoto" dataDxfId="15"/>
    <tableColumn id="3" xr3:uid="{00000000-0010-0000-0900-000003000000}" name="platyna" dataDxfId="14"/>
    <tableColumn id="4" xr3:uid="{00000000-0010-0000-0900-000004000000}" name="BR złoto" dataDxfId="13"/>
    <tableColumn id="5" xr3:uid="{00000000-0010-0000-0900-000005000000}" name="BR platyna, WF i BRdG" dataDxfId="1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pakiety_BR" displayName="pakiety_BR" ref="A153:D158" totalsRowShown="0" headerRowDxfId="11">
  <autoFilter ref="A153:D158" xr:uid="{00000000-0009-0000-0100-00000B000000}"/>
  <tableColumns count="4">
    <tableColumn id="1" xr3:uid="{00000000-0010-0000-0A00-000001000000}" name="Pakiety promocyjne BR"/>
    <tableColumn id="2" xr3:uid="{00000000-0010-0000-0A00-000002000000}" name="cena promo" dataDxfId="10"/>
    <tableColumn id="3" xr3:uid="{00000000-0010-0000-0A00-000003000000}" name="cena regular" dataDxfId="9"/>
    <tableColumn id="4" xr3:uid="{00000000-0010-0000-0A00-000004000000}" name="AT" dataDxfId="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C000000}" name="pulpity_BI" displayName="pulpity_BI" ref="A122:B128" totalsRowShown="0" headerRowDxfId="7">
  <autoFilter ref="A122:B128" xr:uid="{00000000-0009-0000-0100-000010000000}"/>
  <tableColumns count="2">
    <tableColumn id="1" xr3:uid="{00000000-0010-0000-0C00-000001000000}" name="enova365 BI w Pulpitach"/>
    <tableColumn id="2" xr3:uid="{00000000-0010-0000-0C00-000002000000}" name="Cena" dataDxfId="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D000000}" name="pulpity_BI19" displayName="pulpity_BI19" ref="A130:B136" totalsRowShown="0" headerRowDxfId="5">
  <autoFilter ref="A130:B136" xr:uid="{00000000-0009-0000-0100-000012000000}"/>
  <tableColumns count="2">
    <tableColumn id="1" xr3:uid="{00000000-0010-0000-0D00-000001000000}" name="enova365 Praca Hybrydowa w Pulpitach"/>
    <tableColumn id="2" xr3:uid="{00000000-0010-0000-0D00-000002000000}" name="Cena" dataDxfId="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AE57C5F-1F64-492D-AB7D-E0A1DFE8D1F5}" name="OCR" displayName="OCR" ref="A161:B174" totalsRowShown="0" headerRowDxfId="3" dataDxfId="2">
  <autoFilter ref="A161:B174" xr:uid="{CAE57C5F-1F64-492D-AB7D-E0A1DFE8D1F5}"/>
  <tableColumns count="2">
    <tableColumn id="1" xr3:uid="{ED6A0CE4-8F28-4113-A861-794450DB89E4}" name="enova365 Integracja OCR" dataDxfId="1"/>
    <tableColumn id="2" xr3:uid="{85D4806D-E8FF-468A-8DE7-D9FC9E4AEC92}" name="roczna nielimitowane stacje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duly_podstawowe_BR" displayName="moduly_podstawowe_BR" ref="A35:G53" totalsRowShown="0" headerRowDxfId="44" dataDxfId="43">
  <autoFilter ref="A35:G53" xr:uid="{00000000-0009-0000-0100-000002000000}"/>
  <tableColumns count="7">
    <tableColumn id="1" xr3:uid="{00000000-0010-0000-0100-000001000000}" name="Moduły  podstawowe" dataDxfId="42"/>
    <tableColumn id="2" xr3:uid="{00000000-0010-0000-0100-000002000000}" name="SREBRO Standard" dataDxfId="41"/>
    <tableColumn id="3" xr3:uid="{00000000-0010-0000-0100-000003000000}" name="SREBRO Multi" dataDxfId="40"/>
    <tableColumn id="4" xr3:uid="{00000000-0010-0000-0100-000004000000}" name="ZŁOTO Standard" dataDxfId="39"/>
    <tableColumn id="5" xr3:uid="{00000000-0010-0000-0100-000005000000}" name="ZŁOTO Multi" dataDxfId="38"/>
    <tableColumn id="6" xr3:uid="{00000000-0010-0000-0100-000006000000}" name="PLATYNA Standard" dataDxfId="37"/>
    <tableColumn id="7" xr3:uid="{00000000-0010-0000-0100-000007000000}" name="PLATYNA Multi" dataDxfId="3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oduly_dodatkowe" displayName="moduly_dodatkowe" ref="A55:B82" totalsRowShown="0" headerRowDxfId="35">
  <autoFilter ref="A55:B82" xr:uid="{00000000-0009-0000-0100-000003000000}"/>
  <tableColumns count="2">
    <tableColumn id="1" xr3:uid="{00000000-0010-0000-0200-000001000000}" name="Moduły  dodatkowe" dataDxfId="34"/>
    <tableColumn id="2" xr3:uid="{00000000-0010-0000-0200-000002000000}" name="Cena" dataDxfId="3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e" displayName="tabele" ref="A84:B86" totalsRowShown="0" headerRowDxfId="32">
  <autoFilter ref="A84:B86" xr:uid="{00000000-0009-0000-0100-000004000000}"/>
  <tableColumns count="2">
    <tableColumn id="1" xr3:uid="{00000000-0010-0000-0300-000001000000}" name="TABELE DODATKOWE - ZŁOTO do maks. 15 tabel" dataDxfId="31"/>
    <tableColumn id="2" xr3:uid="{00000000-0010-0000-0300-000002000000}" name="Cena za 1 szt." dataDxfId="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pulpity_KP" displayName="pulpity_KP" ref="A88:B96" totalsRowShown="0" headerRowDxfId="29">
  <autoFilter ref="A88:B96" xr:uid="{00000000-0009-0000-0100-000005000000}"/>
  <tableColumns count="2">
    <tableColumn id="1" xr3:uid="{00000000-0010-0000-0400-000001000000}" name="enova365 Pulpit Pracownika"/>
    <tableColumn id="2" xr3:uid="{00000000-0010-0000-0400-000002000000}" name="Cena" dataDxfId="2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pulpity_HA" displayName="pulpity_HA" ref="A98:B104" totalsRowShown="0" headerRowDxfId="27">
  <autoFilter ref="A98:B104" xr:uid="{00000000-0009-0000-0100-000006000000}"/>
  <tableColumns count="2">
    <tableColumn id="1" xr3:uid="{00000000-0010-0000-0500-000001000000}" name="enova365 Pulpit Kontrahenta"/>
    <tableColumn id="2" xr3:uid="{00000000-0010-0000-0500-000002000000}" name="Cena" dataDxfId="2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pulpity_WF" displayName="pulpity_WF" ref="A106:B112" totalsRowShown="0" headerRowDxfId="25">
  <autoFilter ref="A106:B112" xr:uid="{00000000-0009-0000-0100-000007000000}"/>
  <tableColumns count="2">
    <tableColumn id="1" xr3:uid="{00000000-0010-0000-0600-000001000000}" name="enova365 Workflow w Pulpitach"/>
    <tableColumn id="2" xr3:uid="{00000000-0010-0000-0600-000002000000}" name="Cena" dataDxfId="2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pulpity_KBR" displayName="pulpity_KBR" ref="A114:C120" totalsRowShown="0" headerRowDxfId="23">
  <autoFilter ref="A114:C120" xr:uid="{00000000-0009-0000-0100-000008000000}"/>
  <tableColumns count="3">
    <tableColumn id="1" xr3:uid="{00000000-0010-0000-0700-000001000000}" name="enova365 Pulpit Klienta Biura Rachunkowego"/>
    <tableColumn id="2" xr3:uid="{00000000-0010-0000-0700-000002000000}" name="Podstawowy miesięczny" dataDxfId="22"/>
    <tableColumn id="3" xr3:uid="{00000000-0010-0000-0700-000003000000}" name="Rozszerzony miesięczny" dataDxfId="2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pakiety" displayName="pakiety" ref="A138:D143" totalsRowShown="0" headerRowDxfId="20">
  <autoFilter ref="A138:D143" xr:uid="{00000000-0009-0000-0100-000009000000}"/>
  <tableColumns count="4">
    <tableColumn id="1" xr3:uid="{00000000-0010-0000-0800-000001000000}" name="Pakiety promocyjne"/>
    <tableColumn id="2" xr3:uid="{00000000-0010-0000-0800-000002000000}" name="cena promo" dataDxfId="19"/>
    <tableColumn id="3" xr3:uid="{00000000-0010-0000-0800-000003000000}" name="cena regular" dataDxfId="18"/>
    <tableColumn id="4" xr3:uid="{00000000-0010-0000-0800-000004000000}" name="AT" dataDxfId="1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nova.pl/aktualnosci/pakiet-dla-nowej-firmy/" TargetMode="External"/><Relationship Id="rId2" Type="http://schemas.openxmlformats.org/officeDocument/2006/relationships/hyperlink" Target="https://www.enova.pl/aktualnosci/pakiety-dla-opp-fundacji-i-stowarzyszen/" TargetMode="External"/><Relationship Id="rId1" Type="http://schemas.openxmlformats.org/officeDocument/2006/relationships/hyperlink" Target="https://www.enova.pl/aktualnosci/pakiety-dla-nowo-powstalych-firm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nova.pl/aktualnosci/pakiety-dla-biur-rachunkowych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enova.pl/aktualnosci/pakiety-dla-biur-rachunkowych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32"/>
  <sheetViews>
    <sheetView tabSelected="1" zoomScale="80" zoomScaleNormal="80" workbookViewId="0">
      <selection activeCell="C9" sqref="C9"/>
    </sheetView>
  </sheetViews>
  <sheetFormatPr defaultColWidth="9.109375" defaultRowHeight="15.6" x14ac:dyDescent="0.3"/>
  <cols>
    <col min="1" max="1" width="50.88671875" style="123" customWidth="1"/>
    <col min="2" max="2" width="25.33203125" style="123" customWidth="1"/>
    <col min="3" max="4" width="18.33203125" style="123" customWidth="1"/>
    <col min="5" max="5" width="19.5546875" style="123" bestFit="1" customWidth="1"/>
    <col min="6" max="6" width="15.109375" style="123" customWidth="1"/>
    <col min="7" max="7" width="18.88671875" style="123" customWidth="1"/>
    <col min="8" max="8" width="11.6640625" style="123" customWidth="1"/>
    <col min="9" max="9" width="4.6640625" style="123" customWidth="1"/>
    <col min="10" max="10" width="73.33203125" style="134" customWidth="1"/>
    <col min="11" max="11" width="8.44140625" style="134" bestFit="1" customWidth="1"/>
    <col min="12" max="12" width="6.6640625" style="134" customWidth="1"/>
    <col min="13" max="13" width="13.109375" style="123" hidden="1" customWidth="1"/>
    <col min="14" max="15" width="6.44140625" style="123" hidden="1" customWidth="1"/>
    <col min="16" max="16" width="6.44140625" style="123" customWidth="1"/>
    <col min="17" max="16384" width="9.109375" style="123"/>
  </cols>
  <sheetData>
    <row r="1" spans="1:17" ht="78" x14ac:dyDescent="0.3">
      <c r="A1" s="6" t="s">
        <v>11</v>
      </c>
      <c r="B1" s="7" t="s">
        <v>57</v>
      </c>
      <c r="C1" s="8" t="s">
        <v>84</v>
      </c>
      <c r="D1" s="8" t="s">
        <v>85</v>
      </c>
      <c r="E1" s="9" t="s">
        <v>153</v>
      </c>
      <c r="F1" s="198" t="s">
        <v>86</v>
      </c>
      <c r="G1" s="10" t="s">
        <v>13</v>
      </c>
      <c r="H1" s="104" t="s">
        <v>25</v>
      </c>
      <c r="J1" s="202" t="s">
        <v>155</v>
      </c>
      <c r="M1"/>
      <c r="N1"/>
      <c r="O1"/>
    </row>
    <row r="2" spans="1:17" x14ac:dyDescent="0.3">
      <c r="A2" s="270" t="s">
        <v>158</v>
      </c>
      <c r="B2" s="271"/>
      <c r="C2" s="272"/>
      <c r="D2" s="11"/>
      <c r="E2" s="12"/>
      <c r="F2" s="13"/>
      <c r="G2" s="14"/>
      <c r="H2" s="123">
        <f>IF(G30&gt;0,1,0)</f>
        <v>0</v>
      </c>
      <c r="J2" s="202"/>
      <c r="M2"/>
      <c r="N2"/>
      <c r="O2"/>
    </row>
    <row r="3" spans="1:17" x14ac:dyDescent="0.3">
      <c r="A3" s="200" t="s">
        <v>108</v>
      </c>
      <c r="B3" s="16" t="s">
        <v>1</v>
      </c>
      <c r="C3" s="17">
        <f>IF($B3="srebro",VLOOKUP($A3,moduly_podstawowe[],2,FALSE),IF($B3="złoto",VLOOKUP($A3,moduly_podstawowe[],4,FALSE),IF($B3= "platyna",VLOOKUP($A3,moduly_podstawowe[],6,FALSE))))</f>
        <v>2040</v>
      </c>
      <c r="D3" s="17">
        <f>IF($B3="srebro",VLOOKUP($A3,moduly_podstawowe[],3,FALSE),IF($B3="złoto",VLOOKUP($A3,moduly_podstawowe[],5,FALSE),IF($B3= "platyna",VLOOKUP($A3,moduly_podstawowe[],7,FALSE))))</f>
        <v>2520</v>
      </c>
      <c r="E3" s="18">
        <v>0</v>
      </c>
      <c r="F3" s="18">
        <v>0</v>
      </c>
      <c r="G3" s="19">
        <f t="shared" ref="G3:G22" si="0">IF(F3=0,C3*E3,IF(OR(AND(E3=0,F3&lt;&gt;0),F3&gt;E3),"błąd",((E3-F3)*C3)+(D3*F3)))</f>
        <v>0</v>
      </c>
      <c r="H3" s="123">
        <f t="shared" ref="H3:H30" si="1">IF(G3&gt;0,1,0)</f>
        <v>0</v>
      </c>
      <c r="J3" s="202"/>
      <c r="K3" s="125"/>
      <c r="L3" s="125"/>
      <c r="M3"/>
      <c r="N3">
        <f>IF(AND(OR(B3="złoto",B3="srebro"),E3&gt;0),1,0)</f>
        <v>0</v>
      </c>
      <c r="O3"/>
      <c r="P3" s="126"/>
      <c r="Q3" s="126"/>
    </row>
    <row r="4" spans="1:17" ht="15.6" customHeight="1" x14ac:dyDescent="0.3">
      <c r="A4" s="201" t="s">
        <v>109</v>
      </c>
      <c r="B4" s="16" t="s">
        <v>1</v>
      </c>
      <c r="C4" s="17">
        <f>IF(B4="srebro",VLOOKUP(A4,moduly_podstawowe[],2,FALSE),IF(B4="złoto",VLOOKUP(A4,moduly_podstawowe[],4,FALSE),IF(B4= "platyna",VLOOKUP(A4,moduly_podstawowe[],6,FALSE))))</f>
        <v>715</v>
      </c>
      <c r="D4" s="17">
        <f>IF($B4="srebro",VLOOKUP($A4,moduly_podstawowe[],3,FALSE),IF($B4="złoto",VLOOKUP($A4,moduly_podstawowe[],5,FALSE),IF($B4= "platyna",VLOOKUP($A4,moduly_podstawowe[],7,FALSE))))</f>
        <v>875</v>
      </c>
      <c r="E4" s="18">
        <v>0</v>
      </c>
      <c r="F4" s="18">
        <v>0</v>
      </c>
      <c r="G4" s="19">
        <f t="shared" si="0"/>
        <v>0</v>
      </c>
      <c r="H4" s="123">
        <f t="shared" si="1"/>
        <v>0</v>
      </c>
      <c r="J4" s="202"/>
      <c r="K4" s="202"/>
      <c r="L4" s="202"/>
      <c r="M4" s="202"/>
      <c r="N4">
        <f t="shared" ref="N4:N27" si="2">IF(AND(OR(B4="złoto",B4="srebro"),E4&gt;0),1,0)</f>
        <v>0</v>
      </c>
      <c r="O4"/>
      <c r="P4" s="126"/>
      <c r="Q4" s="126"/>
    </row>
    <row r="5" spans="1:17" x14ac:dyDescent="0.3">
      <c r="A5" s="201" t="s">
        <v>110</v>
      </c>
      <c r="B5" s="16" t="s">
        <v>3</v>
      </c>
      <c r="C5" s="17">
        <f>IF(B5="srebro",VLOOKUP(A5,moduly_podstawowe[],2,FALSE),IF(B5="złoto",VLOOKUP(A5,moduly_podstawowe[],4,FALSE),IF(B5= "platyna",VLOOKUP(A5,moduly_podstawowe[],6,FALSE))))</f>
        <v>3770</v>
      </c>
      <c r="D5" s="17">
        <f>IF($B5="srebro",VLOOKUP($A5,moduly_podstawowe[],3,FALSE),IF($B5="złoto",VLOOKUP($A5,moduly_podstawowe[],5,FALSE),IF($B5= "platyna",VLOOKUP($A5,moduly_podstawowe[],7,FALSE))))</f>
        <v>4180</v>
      </c>
      <c r="E5" s="18">
        <v>0</v>
      </c>
      <c r="F5" s="18">
        <v>0</v>
      </c>
      <c r="G5" s="19">
        <f>IF(AND((E4+F4&gt;0),(E5+F5)&gt;0),"usuń Ks. Podatkową",IF(F5=0,C5*E5,IF(OR(AND(E5=0,F5&lt;&gt;0),F5&gt;E5),"błąd",((E5-F5)*C5)+(D5*F5))))</f>
        <v>0</v>
      </c>
      <c r="H5" s="123">
        <f t="shared" si="1"/>
        <v>0</v>
      </c>
      <c r="J5" s="207" t="str">
        <f>IF(G5="usuń Ks. Podatkową","Ks. Podatkowej i Handlowej nie można łączyć w ramach jednej licencji"," ")</f>
        <v xml:space="preserve"> </v>
      </c>
      <c r="K5" s="202"/>
      <c r="L5" s="202"/>
      <c r="M5" s="202"/>
      <c r="N5">
        <f t="shared" si="2"/>
        <v>0</v>
      </c>
      <c r="O5"/>
      <c r="P5" s="126"/>
      <c r="Q5" s="126"/>
    </row>
    <row r="6" spans="1:17" x14ac:dyDescent="0.3">
      <c r="A6" s="201" t="s">
        <v>111</v>
      </c>
      <c r="B6" s="16" t="s">
        <v>3</v>
      </c>
      <c r="C6" s="17">
        <f>IF(B6="srebro",VLOOKUP(A6,moduly_podstawowe[],2,FALSE),IF(B6="złoto",VLOOKUP(A6,moduly_podstawowe[],4,FALSE),IF(B6= "platyna",VLOOKUP(A6,moduly_podstawowe[],6,FALSE))))</f>
        <v>1490</v>
      </c>
      <c r="D6" s="17">
        <f>IF($B6="srebro",VLOOKUP($A6,moduly_podstawowe[],3,FALSE),IF($B6="złoto",VLOOKUP($A6,moduly_podstawowe[],5,FALSE),IF($B6= "platyna",VLOOKUP($A6,moduly_podstawowe[],7,FALSE))))</f>
        <v>1650</v>
      </c>
      <c r="E6" s="18">
        <v>0</v>
      </c>
      <c r="F6" s="18">
        <v>0</v>
      </c>
      <c r="G6" s="19">
        <f t="shared" si="0"/>
        <v>0</v>
      </c>
      <c r="H6" s="123">
        <f t="shared" si="1"/>
        <v>0</v>
      </c>
      <c r="J6" s="207" t="str">
        <f>IF(B6="platyna"," ",IF(E6+F6=0," ",IF(AND(E5+F5&gt;0,B6&lt;&gt;B5),"Ks. Inwentarzowa musi mieć taki sam kolor jak Ks. Handlowa",IF(AND(E4+F4&gt;0,E5+F5=0,B4&lt;&gt;B6),"Ks. Inwentarzowa musi mieć taki sam kolor jak Ks. Podatkowa"," "))))</f>
        <v xml:space="preserve"> </v>
      </c>
      <c r="K6" s="202"/>
      <c r="L6" s="202"/>
      <c r="M6" s="202"/>
      <c r="N6">
        <f t="shared" si="2"/>
        <v>0</v>
      </c>
      <c r="O6"/>
      <c r="P6" s="126"/>
      <c r="Q6" s="126"/>
    </row>
    <row r="7" spans="1:17" ht="31.2" x14ac:dyDescent="0.3">
      <c r="A7" s="156" t="s">
        <v>112</v>
      </c>
      <c r="B7" s="16" t="s">
        <v>3</v>
      </c>
      <c r="C7" s="17">
        <f>IF(B7="srebro",VLOOKUP(A7,moduly_podstawowe[],2,FALSE),IF(B7="złoto",VLOOKUP(A7,moduly_podstawowe[],4,FALSE),IF(B7= "platyna",VLOOKUP(A7,moduly_podstawowe[],6,FALSE))))</f>
        <v>595</v>
      </c>
      <c r="D7" s="17">
        <f>IF($B7="srebro",VLOOKUP($A7,moduly_podstawowe[],3,FALSE),IF($B7="złoto",VLOOKUP($A7,moduly_podstawowe[],5,FALSE),IF($B7= "platyna",VLOOKUP($A7,moduly_podstawowe[],7,FALSE))))</f>
        <v>665</v>
      </c>
      <c r="E7" s="18">
        <v>0</v>
      </c>
      <c r="F7" s="18">
        <v>0</v>
      </c>
      <c r="G7" s="19">
        <f t="shared" si="0"/>
        <v>0</v>
      </c>
      <c r="H7" s="123">
        <f t="shared" si="1"/>
        <v>0</v>
      </c>
      <c r="J7" s="207"/>
      <c r="K7" s="202"/>
      <c r="L7" s="202"/>
      <c r="M7" s="202"/>
      <c r="N7">
        <f t="shared" si="2"/>
        <v>0</v>
      </c>
      <c r="O7"/>
      <c r="P7" s="126"/>
      <c r="Q7" s="126"/>
    </row>
    <row r="8" spans="1:17" x14ac:dyDescent="0.3">
      <c r="A8" s="156" t="s">
        <v>154</v>
      </c>
      <c r="B8" s="16" t="s">
        <v>3</v>
      </c>
      <c r="C8" s="17">
        <f>IF(B8="srebro",VLOOKUP(A8,moduly_podstawowe[],2,FALSE),IF(B8="złoto",VLOOKUP(A8,moduly_podstawowe[],4,FALSE),IF(B8= "platyna",VLOOKUP(A8,moduly_podstawowe[],6,FALSE))))</f>
        <v>1360</v>
      </c>
      <c r="D8" s="17">
        <f>IF($B8="srebro",VLOOKUP($A8,moduly_podstawowe[],3,FALSE),IF($B8="złoto",VLOOKUP($A8,moduly_podstawowe[],5,FALSE),IF($B8= "platyna",VLOOKUP($A8,moduly_podstawowe[],7,FALSE))))</f>
        <v>1490</v>
      </c>
      <c r="E8" s="18">
        <v>0</v>
      </c>
      <c r="F8" s="18">
        <v>0</v>
      </c>
      <c r="G8" s="19">
        <f t="shared" si="0"/>
        <v>0</v>
      </c>
      <c r="H8" s="123">
        <f t="shared" si="1"/>
        <v>0</v>
      </c>
      <c r="J8" s="202"/>
      <c r="K8" s="202"/>
      <c r="L8" s="202"/>
      <c r="M8" s="202"/>
      <c r="N8">
        <f t="shared" si="2"/>
        <v>0</v>
      </c>
      <c r="O8"/>
      <c r="P8" s="126"/>
      <c r="Q8" s="126"/>
    </row>
    <row r="9" spans="1:17" x14ac:dyDescent="0.3">
      <c r="A9" s="201" t="s">
        <v>113</v>
      </c>
      <c r="B9" s="16" t="s">
        <v>3</v>
      </c>
      <c r="C9" s="17">
        <f>IF(B9="srebro",VLOOKUP(A9,moduly_podstawowe[],2,FALSE),IF(B9="złoto",VLOOKUP(A9,moduly_podstawowe[],4,FALSE),IF(B9= "platyna",VLOOKUP(A9,moduly_podstawowe[],6,FALSE))))</f>
        <v>735</v>
      </c>
      <c r="D9" s="17">
        <f>IF($B9="srebro",VLOOKUP($A9,moduly_podstawowe[],3,FALSE),IF($B9="złoto",VLOOKUP($A9,moduly_podstawowe[],5,FALSE),IF($B9= "platyna",VLOOKUP($A9,moduly_podstawowe[],7,FALSE))))</f>
        <v>815</v>
      </c>
      <c r="E9" s="18">
        <v>0</v>
      </c>
      <c r="F9" s="18">
        <v>0</v>
      </c>
      <c r="G9" s="19">
        <f t="shared" si="0"/>
        <v>0</v>
      </c>
      <c r="H9" s="123">
        <f t="shared" si="1"/>
        <v>0</v>
      </c>
      <c r="J9" s="202"/>
      <c r="K9" s="202"/>
      <c r="L9" s="202"/>
      <c r="M9" s="202"/>
      <c r="N9">
        <f t="shared" si="2"/>
        <v>0</v>
      </c>
      <c r="O9"/>
      <c r="P9" s="126"/>
      <c r="Q9" s="126"/>
    </row>
    <row r="10" spans="1:17" ht="15.6" customHeight="1" x14ac:dyDescent="0.3">
      <c r="A10" s="201" t="s">
        <v>114</v>
      </c>
      <c r="B10" s="16" t="s">
        <v>3</v>
      </c>
      <c r="C10" s="17">
        <f>IF(B10="srebro",VLOOKUP(A10,moduly_podstawowe[],2,FALSE),IF(B10="złoto",VLOOKUP(A10,moduly_podstawowe[],4,FALSE),IF(B10= "platyna",VLOOKUP(A10,moduly_podstawowe[],6,FALSE))))</f>
        <v>2240</v>
      </c>
      <c r="D10" s="17">
        <f>IF($B10="srebro",VLOOKUP($A10,moduly_podstawowe[],3,FALSE),IF($B10="złoto",VLOOKUP($A10,moduly_podstawowe[],5,FALSE),IF($B10= "platyna",VLOOKUP($A10,moduly_podstawowe[],7,FALSE))))</f>
        <v>2480</v>
      </c>
      <c r="E10" s="18">
        <v>0</v>
      </c>
      <c r="F10" s="18">
        <v>0</v>
      </c>
      <c r="G10" s="19">
        <f>IF(AND((E9+F9&gt;0),(E10+F10)&gt;0),"usuń Faktury",IF(F10=0,C10*E10,IF(OR(AND(E10=0,F10&lt;&gt;0),F10&gt;E10),"błąd",((E10-F10)*C10)+(D10*F10))))</f>
        <v>0</v>
      </c>
      <c r="H10" s="123">
        <f t="shared" si="1"/>
        <v>0</v>
      </c>
      <c r="J10" s="204" t="str">
        <f>IF(G10="usuń Faktury","Faktur i Handlu nie można łączyć w ramach jednej licencji"," ")</f>
        <v xml:space="preserve"> </v>
      </c>
      <c r="K10" s="203"/>
      <c r="L10" s="203"/>
      <c r="M10" s="202"/>
      <c r="N10">
        <f t="shared" si="2"/>
        <v>0</v>
      </c>
      <c r="O10"/>
      <c r="P10" s="126"/>
      <c r="Q10" s="126"/>
    </row>
    <row r="11" spans="1:17" x14ac:dyDescent="0.3">
      <c r="A11" s="84" t="s">
        <v>115</v>
      </c>
      <c r="B11" s="16" t="s">
        <v>3</v>
      </c>
      <c r="C11" s="17">
        <f>IF(B11="srebro",VLOOKUP(A11,moduly_podstawowe[],2,FALSE),IF(B11="złoto",VLOOKUP(A11,moduly_podstawowe[],4,FALSE),IF(B11= "platyna",VLOOKUP(A11,moduly_podstawowe[],6,FALSE))))</f>
        <v>2420</v>
      </c>
      <c r="D11" s="17">
        <f>IF($B11="srebro",VLOOKUP($A11,moduly_podstawowe[],3,FALSE),IF($B11="złoto",VLOOKUP($A11,moduly_podstawowe[],5,FALSE),IF($B11= "platyna",VLOOKUP($A11,moduly_podstawowe[],7,FALSE))))</f>
        <v>2670</v>
      </c>
      <c r="E11" s="18">
        <v>0</v>
      </c>
      <c r="F11" s="18">
        <v>0</v>
      </c>
      <c r="G11" s="19">
        <f t="shared" si="0"/>
        <v>0</v>
      </c>
      <c r="H11" s="123">
        <f t="shared" si="1"/>
        <v>0</v>
      </c>
      <c r="J11" s="202"/>
      <c r="K11" s="202"/>
      <c r="L11" s="202"/>
      <c r="M11" s="202"/>
      <c r="N11">
        <f t="shared" si="2"/>
        <v>0</v>
      </c>
      <c r="O11"/>
      <c r="P11" s="126"/>
      <c r="Q11" s="126"/>
    </row>
    <row r="12" spans="1:17" x14ac:dyDescent="0.3">
      <c r="A12" s="84" t="s">
        <v>116</v>
      </c>
      <c r="B12" s="16" t="s">
        <v>3</v>
      </c>
      <c r="C12" s="17">
        <f>IF(B12="srebro",VLOOKUP(A12,moduly_podstawowe[],2,FALSE),IF(B12="złoto",VLOOKUP(A12,moduly_podstawowe[],4,FALSE),IF(B12= "platyna",VLOOKUP(A12,moduly_podstawowe[],6,FALSE))))</f>
        <v>3500</v>
      </c>
      <c r="D12" s="17">
        <f>IF($B12="srebro",VLOOKUP($A12,moduly_podstawowe[],3,FALSE),IF($B12="złoto",VLOOKUP($A12,moduly_podstawowe[],5,FALSE),IF($B12= "platyna",VLOOKUP($A12,moduly_podstawowe[],7,FALSE))))</f>
        <v>4240</v>
      </c>
      <c r="E12" s="18">
        <v>0</v>
      </c>
      <c r="F12" s="18">
        <v>0</v>
      </c>
      <c r="G12" s="19">
        <f t="shared" si="0"/>
        <v>0</v>
      </c>
      <c r="H12" s="123">
        <f t="shared" si="1"/>
        <v>0</v>
      </c>
      <c r="J12" s="202"/>
      <c r="K12" s="202"/>
      <c r="L12" s="202"/>
      <c r="M12" s="202"/>
      <c r="N12">
        <f t="shared" si="2"/>
        <v>0</v>
      </c>
      <c r="O12"/>
      <c r="P12" s="126"/>
      <c r="Q12" s="126"/>
    </row>
    <row r="13" spans="1:17" x14ac:dyDescent="0.3">
      <c r="A13" s="201" t="s">
        <v>117</v>
      </c>
      <c r="B13" s="16" t="s">
        <v>3</v>
      </c>
      <c r="C13" s="17">
        <f>IF(B13="srebro",VLOOKUP(A13,moduly_podstawowe[],2,FALSE),IF(B13="złoto",VLOOKUP(A13,moduly_podstawowe[],4,FALSE),IF(B13= "platyna",VLOOKUP(A13,moduly_podstawowe[],6,FALSE))))</f>
        <v>1380</v>
      </c>
      <c r="D13" s="17">
        <f>IF($B13="srebro",VLOOKUP($A13,moduly_podstawowe[],3,FALSE),IF($B13="złoto",VLOOKUP($A13,moduly_podstawowe[],5,FALSE),IF($B13= "platyna",VLOOKUP($A13,moduly_podstawowe[],7,FALSE))))</f>
        <v>1530</v>
      </c>
      <c r="E13" s="18">
        <v>0</v>
      </c>
      <c r="F13" s="18">
        <v>0</v>
      </c>
      <c r="G13" s="19">
        <f t="shared" si="0"/>
        <v>0</v>
      </c>
      <c r="H13" s="123">
        <f t="shared" si="1"/>
        <v>0</v>
      </c>
      <c r="J13" s="202" t="str">
        <f>IF(B13="srebro"," ", IF(E13+F13&gt;0,"zawiera pełną funcjonalność e-mail"," "))</f>
        <v xml:space="preserve"> </v>
      </c>
      <c r="K13" s="202"/>
      <c r="L13" s="202"/>
      <c r="M13" s="202"/>
      <c r="N13">
        <f t="shared" si="2"/>
        <v>0</v>
      </c>
      <c r="O13"/>
      <c r="P13" s="126"/>
      <c r="Q13" s="126"/>
    </row>
    <row r="14" spans="1:17" ht="15.6" customHeight="1" x14ac:dyDescent="0.3">
      <c r="A14" s="201" t="s">
        <v>118</v>
      </c>
      <c r="B14" s="16" t="s">
        <v>3</v>
      </c>
      <c r="C14" s="17">
        <f>IF(B14="srebro",VLOOKUP(A14,moduly_podstawowe[],2,FALSE),IF(B14="złoto",VLOOKUP(A14,moduly_podstawowe[],4,FALSE),IF(B14= "platyna",VLOOKUP(A14,moduly_podstawowe[],6,FALSE))))</f>
        <v>1050</v>
      </c>
      <c r="D14" s="17">
        <f>IF($B14="srebro",VLOOKUP($A14,moduly_podstawowe[],3,FALSE),IF($B14="złoto",VLOOKUP($A14,moduly_podstawowe[],5,FALSE),IF($B14= "platyna",VLOOKUP($A14,moduly_podstawowe[],7,FALSE))))</f>
        <v>1160</v>
      </c>
      <c r="E14" s="18">
        <v>0</v>
      </c>
      <c r="F14" s="18">
        <v>0</v>
      </c>
      <c r="G14" s="19">
        <f t="shared" si="0"/>
        <v>0</v>
      </c>
      <c r="H14" s="123">
        <f t="shared" si="1"/>
        <v>0</v>
      </c>
      <c r="J14" s="202"/>
      <c r="K14" s="202"/>
      <c r="L14" s="202"/>
      <c r="M14" s="202"/>
      <c r="N14">
        <f t="shared" si="2"/>
        <v>0</v>
      </c>
      <c r="O14"/>
      <c r="P14" s="126"/>
      <c r="Q14" s="126"/>
    </row>
    <row r="15" spans="1:17" x14ac:dyDescent="0.3">
      <c r="A15" s="201" t="s">
        <v>119</v>
      </c>
      <c r="B15" s="16" t="s">
        <v>3</v>
      </c>
      <c r="C15" s="17">
        <f>IF(B15="srebro",VLOOKUP(A15,moduly_podstawowe[],2,FALSE),IF(B15="złoto",VLOOKUP(A15,moduly_podstawowe[],4,FALSE),IF(B15= "platyna",VLOOKUP(A15,moduly_podstawowe[],6,FALSE))))</f>
        <v>1190</v>
      </c>
      <c r="D15" s="17">
        <f>IF($B15="srebro",VLOOKUP($A15,moduly_podstawowe[],3,FALSE),IF($B15="złoto",VLOOKUP($A15,moduly_podstawowe[],5,FALSE),IF($B15= "platyna",VLOOKUP($A15,moduly_podstawowe[],7,FALSE))))</f>
        <v>1330</v>
      </c>
      <c r="E15" s="18">
        <v>0</v>
      </c>
      <c r="F15" s="18">
        <v>0</v>
      </c>
      <c r="G15" s="19">
        <f t="shared" si="0"/>
        <v>0</v>
      </c>
      <c r="H15" s="123">
        <f t="shared" si="1"/>
        <v>0</v>
      </c>
      <c r="J15" s="202"/>
      <c r="K15" s="202"/>
      <c r="L15" s="202"/>
      <c r="M15" s="202"/>
      <c r="N15">
        <f t="shared" si="2"/>
        <v>0</v>
      </c>
      <c r="O15"/>
      <c r="P15" s="126"/>
      <c r="Q15" s="126"/>
    </row>
    <row r="16" spans="1:17" x14ac:dyDescent="0.3">
      <c r="A16" s="201" t="s">
        <v>120</v>
      </c>
      <c r="B16" s="16" t="s">
        <v>3</v>
      </c>
      <c r="C16" s="17">
        <f>IF(B16="srebro",VLOOKUP(A16,moduly_podstawowe[],2,FALSE),IF(B16="złoto",VLOOKUP(A16,moduly_podstawowe[],4,FALSE),IF(B16= "platyna",VLOOKUP(A16,moduly_podstawowe[],6,FALSE))))</f>
        <v>1050</v>
      </c>
      <c r="D16" s="17">
        <f>IF($B16="srebro",VLOOKUP($A16,moduly_podstawowe[],3,FALSE),IF($B16="złoto",VLOOKUP($A16,moduly_podstawowe[],5,FALSE),IF($B16= "platyna",VLOOKUP($A16,moduly_podstawowe[],7,FALSE))))</f>
        <v>1160</v>
      </c>
      <c r="E16" s="18">
        <v>0</v>
      </c>
      <c r="F16" s="18">
        <v>0</v>
      </c>
      <c r="G16" s="19">
        <f t="shared" si="0"/>
        <v>0</v>
      </c>
      <c r="H16" s="123">
        <f t="shared" si="1"/>
        <v>0</v>
      </c>
      <c r="J16" s="202"/>
      <c r="K16" s="202"/>
      <c r="L16" s="202"/>
      <c r="M16" s="202"/>
      <c r="N16">
        <f t="shared" si="2"/>
        <v>0</v>
      </c>
      <c r="O16"/>
      <c r="P16" s="126"/>
      <c r="Q16" s="126"/>
    </row>
    <row r="17" spans="1:17" x14ac:dyDescent="0.3">
      <c r="A17" s="201" t="s">
        <v>121</v>
      </c>
      <c r="B17" s="16" t="s">
        <v>3</v>
      </c>
      <c r="C17" s="17">
        <f>IF(B17="srebro",VLOOKUP(A17,moduly_podstawowe[],2,FALSE),IF(B17="złoto",VLOOKUP(A17,moduly_podstawowe[],4,FALSE),IF(B17= "platyna",VLOOKUP(A17,moduly_podstawowe[],6,FALSE))))</f>
        <v>1050</v>
      </c>
      <c r="D17" s="17">
        <f>IF($B17="srebro",VLOOKUP($A17,moduly_podstawowe[],3,FALSE),IF($B17="złoto",VLOOKUP($A17,moduly_podstawowe[],5,FALSE),IF($B17= "platyna",VLOOKUP($A17,moduly_podstawowe[],7,FALSE))))</f>
        <v>1160</v>
      </c>
      <c r="E17" s="18">
        <v>0</v>
      </c>
      <c r="F17" s="18">
        <v>0</v>
      </c>
      <c r="G17" s="19">
        <f t="shared" si="0"/>
        <v>0</v>
      </c>
      <c r="H17" s="123">
        <f t="shared" si="1"/>
        <v>0</v>
      </c>
      <c r="J17" s="202"/>
      <c r="K17" s="202"/>
      <c r="L17" s="202"/>
      <c r="M17" s="202"/>
      <c r="N17">
        <f t="shared" si="2"/>
        <v>0</v>
      </c>
      <c r="O17"/>
      <c r="P17" s="126"/>
      <c r="Q17" s="126"/>
    </row>
    <row r="18" spans="1:17" x14ac:dyDescent="0.3">
      <c r="A18" s="201" t="s">
        <v>122</v>
      </c>
      <c r="B18" s="16" t="s">
        <v>3</v>
      </c>
      <c r="C18" s="17">
        <f>IF(B18="srebro",VLOOKUP(A18,moduly_podstawowe[],2,FALSE),IF(B18="złoto",VLOOKUP(A18,moduly_podstawowe[],4,FALSE),IF(B18= "platyna",VLOOKUP(A18,moduly_podstawowe[],6,FALSE))))</f>
        <v>2570</v>
      </c>
      <c r="D18" s="17">
        <f>IF($B18="srebro",VLOOKUP($A18,moduly_podstawowe[],3,FALSE),IF($B18="złoto",VLOOKUP($A18,moduly_podstawowe[],5,FALSE),IF($B18= "platyna",VLOOKUP($A18,moduly_podstawowe[],7,FALSE))))</f>
        <v>2840</v>
      </c>
      <c r="E18" s="18">
        <v>0</v>
      </c>
      <c r="F18" s="18">
        <v>0</v>
      </c>
      <c r="G18" s="19">
        <f t="shared" si="0"/>
        <v>0</v>
      </c>
      <c r="H18" s="123">
        <f t="shared" si="1"/>
        <v>0</v>
      </c>
      <c r="J18" s="202" t="str">
        <f>IF(E18+F18&gt;0,"zawiera pełną funcjonalność CRM oraz e-mail"," ")</f>
        <v xml:space="preserve"> </v>
      </c>
      <c r="K18" s="125"/>
      <c r="L18" s="125"/>
      <c r="M18"/>
      <c r="N18">
        <f>IF(AND(OR(B18="złoto",B18="srebro"),E18&gt;0),1,0)</f>
        <v>0</v>
      </c>
      <c r="O18"/>
      <c r="P18" s="126"/>
      <c r="Q18" s="126"/>
    </row>
    <row r="19" spans="1:17" x14ac:dyDescent="0.3">
      <c r="A19" s="201" t="s">
        <v>229</v>
      </c>
      <c r="B19" s="16" t="s">
        <v>3</v>
      </c>
      <c r="C19" s="17">
        <f>IF(B19="srebro",VLOOKUP(A19,moduly_podstawowe[],2,FALSE),IF(B19="złoto",VLOOKUP(A19,moduly_podstawowe[],4,FALSE),IF(B19= "platyna",VLOOKUP(A19,moduly_podstawowe[],6,FALSE))))</f>
        <v>4500</v>
      </c>
      <c r="D19" s="17">
        <f>IF($B19="srebro",VLOOKUP($A19,moduly_podstawowe[],3,FALSE),IF($B19="złoto",VLOOKUP($A19,moduly_podstawowe[],5,FALSE),IF($B19= "platyna",VLOOKUP($A19,moduly_podstawowe[],7,FALSE))))</f>
        <v>5600</v>
      </c>
      <c r="E19" s="18">
        <v>0</v>
      </c>
      <c r="F19" s="18">
        <v>0</v>
      </c>
      <c r="G19" s="19">
        <f t="shared" si="0"/>
        <v>0</v>
      </c>
      <c r="H19" s="123">
        <f t="shared" si="1"/>
        <v>0</v>
      </c>
      <c r="J19" s="202"/>
      <c r="K19" s="125"/>
      <c r="L19" s="125"/>
      <c r="M19"/>
      <c r="N19">
        <f>IF(AND(OR(B19="złoto",B19="srebro"),E19&gt;0),1,0)</f>
        <v>0</v>
      </c>
      <c r="O19"/>
      <c r="P19" s="126"/>
      <c r="Q19" s="126"/>
    </row>
    <row r="20" spans="1:17" x14ac:dyDescent="0.3">
      <c r="A20" s="201" t="s">
        <v>235</v>
      </c>
      <c r="B20" s="16" t="s">
        <v>3</v>
      </c>
      <c r="C20" s="17">
        <f>IF(B20="srebro",VLOOKUP(A20,moduly_podstawowe[],2,FALSE),IF(B20="złoto",VLOOKUP(A20,moduly_podstawowe[],4,FALSE),IF(B20= "platyna",VLOOKUP(A20,moduly_podstawowe[],6,FALSE))))</f>
        <v>1800</v>
      </c>
      <c r="D20" s="17">
        <f>IF($B20="srebro",VLOOKUP($A20,moduly_podstawowe[],3,FALSE),IF($B20="złoto",VLOOKUP($A20,moduly_podstawowe[],5,FALSE),IF($B20= "platyna",VLOOKUP($A20,moduly_podstawowe[],7,FALSE))))</f>
        <v>2250</v>
      </c>
      <c r="E20" s="18">
        <v>0</v>
      </c>
      <c r="F20" s="18">
        <v>0</v>
      </c>
      <c r="G20" s="19">
        <f t="shared" si="0"/>
        <v>0</v>
      </c>
      <c r="H20" s="123">
        <f t="shared" si="1"/>
        <v>0</v>
      </c>
      <c r="J20" s="202"/>
      <c r="K20" s="125"/>
      <c r="L20" s="125"/>
      <c r="M20"/>
      <c r="N20">
        <f>IF(AND(OR(B20="złoto",B20="srebro"),E20&gt;0),1,0)</f>
        <v>0</v>
      </c>
      <c r="O20"/>
      <c r="P20" s="126"/>
      <c r="Q20" s="126"/>
    </row>
    <row r="21" spans="1:17" x14ac:dyDescent="0.3">
      <c r="A21" s="84" t="s">
        <v>123</v>
      </c>
      <c r="B21" s="16" t="s">
        <v>3</v>
      </c>
      <c r="C21" s="17">
        <f>IF(B21="srebro",VLOOKUP(A21,moduly_podstawowe[],2,FALSE),IF(B21="złoto",VLOOKUP(A21,moduly_podstawowe[],4,FALSE),IF(B21= "platyna",VLOOKUP(A21,moduly_podstawowe[],6,FALSE))))</f>
        <v>415</v>
      </c>
      <c r="D21" s="17">
        <f>IF($B21="srebro",VLOOKUP($A21,moduly_podstawowe[],3,FALSE),IF($B21="złoto",VLOOKUP($A21,moduly_podstawowe[],5,FALSE),IF($B21= "platyna",VLOOKUP($A21,moduly_podstawowe[],7,FALSE))))</f>
        <v>415</v>
      </c>
      <c r="E21" s="18">
        <v>0</v>
      </c>
      <c r="F21" s="18">
        <v>0</v>
      </c>
      <c r="G21" s="19">
        <f t="shared" si="0"/>
        <v>0</v>
      </c>
      <c r="H21" s="123">
        <f t="shared" si="1"/>
        <v>0</v>
      </c>
      <c r="J21" s="125"/>
      <c r="K21" s="125"/>
      <c r="L21" s="125"/>
      <c r="M21"/>
      <c r="N21">
        <f t="shared" si="2"/>
        <v>0</v>
      </c>
      <c r="O21"/>
      <c r="P21" s="126"/>
      <c r="Q21" s="126"/>
    </row>
    <row r="22" spans="1:17" x14ac:dyDescent="0.3">
      <c r="A22" s="84" t="s">
        <v>124</v>
      </c>
      <c r="B22" s="16" t="s">
        <v>3</v>
      </c>
      <c r="C22" s="17">
        <f>IF(B22="srebro",VLOOKUP(A22,moduly_podstawowe[],2,FALSE),IF(B22="złoto",VLOOKUP(A22,moduly_podstawowe[],4,FALSE),IF(B22= "platyna",VLOOKUP(A22,moduly_podstawowe[],6,FALSE))))</f>
        <v>535</v>
      </c>
      <c r="D22" s="17">
        <f>IF($B22="srebro",VLOOKUP($A22,moduly_podstawowe[],3,FALSE),IF($B22="złoto",VLOOKUP($A22,moduly_podstawowe[],5,FALSE),IF($B22= "platyna",VLOOKUP($A22,moduly_podstawowe[],7,FALSE))))</f>
        <v>535</v>
      </c>
      <c r="E22" s="18">
        <v>0</v>
      </c>
      <c r="F22" s="18">
        <v>0</v>
      </c>
      <c r="G22" s="19">
        <f t="shared" si="0"/>
        <v>0</v>
      </c>
      <c r="H22" s="123">
        <f t="shared" si="1"/>
        <v>0</v>
      </c>
      <c r="J22" s="125"/>
      <c r="K22" s="125"/>
      <c r="L22" s="125"/>
      <c r="M22"/>
      <c r="N22">
        <f t="shared" si="2"/>
        <v>0</v>
      </c>
      <c r="O22"/>
      <c r="P22" s="126"/>
      <c r="Q22" s="126"/>
    </row>
    <row r="23" spans="1:17" x14ac:dyDescent="0.3">
      <c r="A23" s="84" t="s">
        <v>125</v>
      </c>
      <c r="B23" s="144"/>
      <c r="C23" s="17">
        <f>VLOOKUP(A23,moduly_podstawowe[],4,FALSE)</f>
        <v>3420</v>
      </c>
      <c r="D23" s="17"/>
      <c r="E23" s="144">
        <v>0</v>
      </c>
      <c r="F23" s="144">
        <v>0</v>
      </c>
      <c r="G23" s="19">
        <f>IF(OR((AND(B21="platyna",E21&gt;0)),E22&gt;0),C23,0)</f>
        <v>0</v>
      </c>
      <c r="H23" s="123">
        <f t="shared" si="1"/>
        <v>0</v>
      </c>
      <c r="J23" s="125"/>
      <c r="K23" s="125"/>
      <c r="L23" s="125"/>
      <c r="M23"/>
      <c r="N23">
        <f t="shared" si="2"/>
        <v>0</v>
      </c>
      <c r="O23"/>
      <c r="P23" s="126"/>
      <c r="Q23" s="126"/>
    </row>
    <row r="24" spans="1:17" x14ac:dyDescent="0.3">
      <c r="A24" s="84" t="s">
        <v>126</v>
      </c>
      <c r="B24" s="16" t="s">
        <v>3</v>
      </c>
      <c r="C24" s="17">
        <f>IF(B24="srebro",VLOOKUP(A24,moduly_podstawowe[],2,FALSE),IF(B24="złoto",VLOOKUP(A24,moduly_podstawowe[],4,FALSE),IF(B24= "platyna",VLOOKUP(A24,moduly_podstawowe[],6,FALSE))))</f>
        <v>1050</v>
      </c>
      <c r="D24" s="17">
        <f>IF($B24="srebro",VLOOKUP($A24,moduly_podstawowe[],3,FALSE),IF($B24="złoto",VLOOKUP($A24,moduly_podstawowe[],5,FALSE),IF($B24= "platyna",VLOOKUP($A24,moduly_podstawowe[],7,FALSE))))</f>
        <v>1160</v>
      </c>
      <c r="E24" s="18">
        <v>0</v>
      </c>
      <c r="F24" s="18">
        <v>0</v>
      </c>
      <c r="G24" s="19">
        <f>IF(F24=0,C24*E24,IF(OR(AND(E24=0,F24&lt;&gt;0),F24&gt;E24),"błąd",((E24-F24)*C24)+(D24*F24)))</f>
        <v>0</v>
      </c>
      <c r="H24" s="123">
        <f t="shared" si="1"/>
        <v>0</v>
      </c>
      <c r="J24" s="205" t="str">
        <f>IF(F24&gt;0,"jeżeli planujemy korzystać z Poglądu multi to na licencji musi być min. 1 st. multi w ramach poglądanego modułu"," ")</f>
        <v xml:space="preserve"> </v>
      </c>
      <c r="K24" s="125"/>
      <c r="L24" s="125"/>
      <c r="M24"/>
      <c r="N24">
        <f t="shared" si="2"/>
        <v>0</v>
      </c>
      <c r="O24"/>
      <c r="P24" s="126"/>
      <c r="Q24" s="126"/>
    </row>
    <row r="25" spans="1:17" x14ac:dyDescent="0.3">
      <c r="A25" s="84" t="s">
        <v>127</v>
      </c>
      <c r="B25" s="16" t="s">
        <v>3</v>
      </c>
      <c r="C25" s="17">
        <f>IF(B25="srebro",VLOOKUP(A25,moduly_podstawowe[],2,FALSE),IF(B25="złoto",VLOOKUP(A25,moduly_podstawowe[],4,FALSE),IF(B25= "platyna",VLOOKUP(A25,moduly_podstawowe[],6,FALSE))))</f>
        <v>1190</v>
      </c>
      <c r="D25" s="17">
        <f>IF($B25="srebro",VLOOKUP($A25,moduly_podstawowe[],3,FALSE),IF($B25="złoto",VLOOKUP($A25,moduly_podstawowe[],5,FALSE),IF($B25= "platyna",VLOOKUP($A25,moduly_podstawowe[],7,FALSE))))</f>
        <v>1330</v>
      </c>
      <c r="E25" s="18">
        <v>0</v>
      </c>
      <c r="F25" s="18">
        <v>0</v>
      </c>
      <c r="G25" s="19">
        <f>IF(F25=0,C25*E25,IF(OR(AND(E25=0,F25&lt;&gt;0),F25&gt;E25),"błąd",((E25-F25)*C25)+(D25*F25)))</f>
        <v>0</v>
      </c>
      <c r="H25" s="123">
        <f t="shared" si="1"/>
        <v>0</v>
      </c>
      <c r="J25" s="125"/>
      <c r="K25" s="125"/>
      <c r="L25" s="125"/>
      <c r="M25"/>
      <c r="N25">
        <f t="shared" si="2"/>
        <v>0</v>
      </c>
      <c r="O25"/>
      <c r="P25" s="126"/>
      <c r="Q25" s="126"/>
    </row>
    <row r="26" spans="1:17" x14ac:dyDescent="0.3">
      <c r="A26" s="201" t="s">
        <v>128</v>
      </c>
      <c r="B26" s="16" t="s">
        <v>3</v>
      </c>
      <c r="C26" s="17">
        <f>IF(B26="srebro",VLOOKUP(A26,moduly_podstawowe[],2,FALSE),IF(B26="złoto",VLOOKUP(A26,moduly_podstawowe[],4,FALSE),IF(B26= "platyna",VLOOKUP(A26,moduly_podstawowe[],6,FALSE))))</f>
        <v>745</v>
      </c>
      <c r="D26" s="17">
        <f>IF($B26="srebro",VLOOKUP($A26,moduly_podstawowe[],3,FALSE),IF($B26="złoto",VLOOKUP($A26,moduly_podstawowe[],5,FALSE),IF($B26= "platyna",VLOOKUP($A26,moduly_podstawowe[],7,FALSE))))</f>
        <v>825</v>
      </c>
      <c r="E26" s="18">
        <v>0</v>
      </c>
      <c r="F26" s="18">
        <v>0</v>
      </c>
      <c r="G26" s="19">
        <f>IF(F26=0,C26*E26,IF(OR(AND(E26=0,F26&lt;&gt;0),F26&gt;E26),"błąd",((E26-F26)*C26)+(D26*F26)))</f>
        <v>0</v>
      </c>
      <c r="H26" s="123">
        <f t="shared" si="1"/>
        <v>0</v>
      </c>
      <c r="J26" s="125"/>
      <c r="K26" s="125"/>
      <c r="L26" s="125"/>
      <c r="M26"/>
      <c r="N26">
        <f t="shared" si="2"/>
        <v>0</v>
      </c>
      <c r="O26"/>
      <c r="P26" s="126"/>
      <c r="Q26" s="126"/>
    </row>
    <row r="27" spans="1:17" x14ac:dyDescent="0.3">
      <c r="A27" s="84" t="s">
        <v>129</v>
      </c>
      <c r="B27" s="16" t="s">
        <v>3</v>
      </c>
      <c r="C27" s="17">
        <f>IF(B27="srebro",VLOOKUP(A27,moduly_podstawowe[],2,FALSE),IF(B27="złoto",VLOOKUP(A27,moduly_podstawowe[],4,FALSE),IF(B27= "platyna",VLOOKUP(A27,moduly_podstawowe[],6,FALSE))))</f>
        <v>485</v>
      </c>
      <c r="D27" s="17">
        <f>IF($B27="srebro",VLOOKUP($A27,moduly_podstawowe[],3,FALSE),IF($B27="złoto",VLOOKUP($A27,moduly_podstawowe[],5,FALSE),IF($B27= "platyna",VLOOKUP($A27,moduly_podstawowe[],7,FALSE))))</f>
        <v>535</v>
      </c>
      <c r="E27" s="18">
        <v>0</v>
      </c>
      <c r="F27" s="18">
        <v>0</v>
      </c>
      <c r="G27" s="19">
        <f>IF(F27=0,C27*E27,IF(OR(AND(E27=0,F27&lt;&gt;0),F27&gt;E27),"błąd",((E27-F27)*C27)+(D27*F27)))</f>
        <v>0</v>
      </c>
      <c r="H27" s="123">
        <f t="shared" si="1"/>
        <v>0</v>
      </c>
      <c r="J27" s="125"/>
      <c r="K27" s="125"/>
      <c r="L27" s="125"/>
      <c r="M27"/>
      <c r="N27">
        <f t="shared" si="2"/>
        <v>0</v>
      </c>
      <c r="O27"/>
      <c r="P27" s="126"/>
      <c r="Q27" s="126"/>
    </row>
    <row r="28" spans="1:17" x14ac:dyDescent="0.3">
      <c r="A28" s="243" t="s">
        <v>221</v>
      </c>
      <c r="B28" s="168" t="s">
        <v>3</v>
      </c>
      <c r="C28" s="21" t="str">
        <f>IF(B28="srebro",VLOOKUP(A28,moduly_podstawowe[],2,FALSE),IF(B28="złoto",VLOOKUP(A28,moduly_podstawowe[],4,FALSE),IF(B28= "platyna",VLOOKUP(A28,moduly_podstawowe[],6,FALSE))))</f>
        <v>niedostępny</v>
      </c>
      <c r="D28" s="17">
        <f>IF($B28="srebro",VLOOKUP($A28,moduly_podstawowe[],3,FALSE),IF($B28="złoto",VLOOKUP($A28,moduly_podstawowe[],5,FALSE),IF($B28= "platyna",VLOOKUP($A28,moduly_podstawowe[],7,FALSE))))</f>
        <v>1110</v>
      </c>
      <c r="E28" s="35">
        <v>0</v>
      </c>
      <c r="F28" s="18">
        <v>0</v>
      </c>
      <c r="G28" s="19">
        <f>IF(E28=0,D28*F28,IF(OR(AND(F28=0,E28&lt;&gt;0),E28&gt;F28),"błąd"))</f>
        <v>0</v>
      </c>
      <c r="H28" s="123">
        <f t="shared" si="1"/>
        <v>0</v>
      </c>
      <c r="J28" s="205" t="str">
        <f>IF(G28="błąd","niedostępne w wersji okienkowej"," ")</f>
        <v xml:space="preserve"> </v>
      </c>
      <c r="K28" s="125"/>
      <c r="L28" s="125"/>
      <c r="M28"/>
      <c r="N28">
        <f>IF(AND(OR(B28="złoto",B28="srebro"),F28&gt;0),1,0)</f>
        <v>0</v>
      </c>
      <c r="O28"/>
      <c r="P28" s="126"/>
      <c r="Q28" s="126"/>
    </row>
    <row r="29" spans="1:17" x14ac:dyDescent="0.3">
      <c r="A29" s="201" t="s">
        <v>223</v>
      </c>
      <c r="B29" s="168" t="s">
        <v>3</v>
      </c>
      <c r="C29" s="20">
        <f>IF(B29="srebro",VLOOKUP(A29,moduly_podstawowe[],2,FALSE),IF(B29="złoto",VLOOKUP(A29,moduly_podstawowe[],4,FALSE),IF(B29= "platyna",VLOOKUP(A29,moduly_podstawowe[],6,FALSE))))</f>
        <v>205</v>
      </c>
      <c r="D29" s="17">
        <f>IF($B29="srebro",VLOOKUP($A29,moduly_podstawowe[],3,FALSE),IF($B29="złoto",VLOOKUP($A29,moduly_podstawowe[],5,FALSE),IF($B29= "platyna",VLOOKUP($A29,moduly_podstawowe[],7,FALSE))))</f>
        <v>205</v>
      </c>
      <c r="E29" s="18">
        <v>0</v>
      </c>
      <c r="F29" s="18">
        <v>0</v>
      </c>
      <c r="G29" s="19">
        <f>IF(F29=0,C29*E29,IF(OR(AND(E29=0,F29&lt;&gt;0),F29&gt;E29),"błąd",((E29-F29)*C29)+(D29*F29)))</f>
        <v>0</v>
      </c>
      <c r="H29" s="123">
        <f t="shared" si="1"/>
        <v>0</v>
      </c>
      <c r="J29" s="205"/>
      <c r="K29" s="125"/>
      <c r="L29" s="125"/>
      <c r="M29"/>
      <c r="N29">
        <f>IF(AND(OR(B29="złoto",B29="srebro"),E29&gt;0),1,0)</f>
        <v>0</v>
      </c>
      <c r="O29"/>
      <c r="P29" s="126"/>
      <c r="Q29" s="126"/>
    </row>
    <row r="30" spans="1:17" x14ac:dyDescent="0.3">
      <c r="A30" s="127" t="s">
        <v>14</v>
      </c>
      <c r="B30" s="128"/>
      <c r="C30" s="129"/>
      <c r="D30" s="129"/>
      <c r="E30" s="130"/>
      <c r="F30" s="131"/>
      <c r="G30" s="22">
        <f>SUM(G3:G29)</f>
        <v>0</v>
      </c>
      <c r="H30" s="123">
        <f t="shared" si="1"/>
        <v>0</v>
      </c>
      <c r="N30">
        <f>SUM(N3:N29)</f>
        <v>0</v>
      </c>
      <c r="O30">
        <f>SUM(N30:N30)</f>
        <v>0</v>
      </c>
    </row>
    <row r="31" spans="1:17" x14ac:dyDescent="0.3">
      <c r="A31" s="273" t="s">
        <v>156</v>
      </c>
      <c r="B31" s="274"/>
      <c r="C31" s="275"/>
      <c r="D31" s="31"/>
      <c r="E31" s="160"/>
      <c r="F31" s="161"/>
      <c r="G31" s="157"/>
      <c r="H31" s="123">
        <f>H33</f>
        <v>0</v>
      </c>
    </row>
    <row r="32" spans="1:17" x14ac:dyDescent="0.3">
      <c r="A32" s="158" t="s">
        <v>182</v>
      </c>
      <c r="B32" s="18" t="str">
        <f>IF(SUM(E3:E28)=0," ",IF(AND(SUM(E3:E28)&gt;0,O30&gt;0),"złoto","platyna"))</f>
        <v xml:space="preserve"> </v>
      </c>
      <c r="C32" s="17"/>
      <c r="D32" s="17" t="str">
        <f>IF(B32="złoto",VLOOKUP(SUM(E3:E20,E24:E27,F28),'Cennik enova365'!$A$146:$C$151,2,TRUE),IF(B32="platyna",VLOOKUP(SUM(E3:E20,E24:E27,F28),'Cennik enova365'!$A$146:$C$151,3,TRUE)," "))</f>
        <v xml:space="preserve"> </v>
      </c>
      <c r="E32" s="18" t="s">
        <v>4</v>
      </c>
      <c r="F32" s="17"/>
      <c r="G32" s="19">
        <f>IF(E32="TAK",D32,0)</f>
        <v>0</v>
      </c>
      <c r="H32" s="123">
        <f t="shared" ref="H32:H33" si="3">IF(G32&gt;0,1,0)</f>
        <v>0</v>
      </c>
    </row>
    <row r="33" spans="1:10" x14ac:dyDescent="0.3">
      <c r="A33" s="127" t="s">
        <v>90</v>
      </c>
      <c r="B33" s="159"/>
      <c r="C33" s="129"/>
      <c r="D33" s="129"/>
      <c r="E33" s="130"/>
      <c r="F33" s="131"/>
      <c r="G33" s="22">
        <f>SUM(G32:G32)</f>
        <v>0</v>
      </c>
      <c r="H33" s="123">
        <f t="shared" si="3"/>
        <v>0</v>
      </c>
    </row>
    <row r="34" spans="1:10" ht="48.6" customHeight="1" x14ac:dyDescent="0.3">
      <c r="A34" s="276" t="s">
        <v>157</v>
      </c>
      <c r="B34" s="259"/>
      <c r="C34" s="260"/>
      <c r="D34" s="267"/>
      <c r="E34" s="268"/>
      <c r="F34" s="268"/>
      <c r="G34" s="269"/>
      <c r="H34" s="123">
        <f>IF(SUM(H35:H59)&gt;0,1,0)</f>
        <v>0</v>
      </c>
    </row>
    <row r="35" spans="1:10" x14ac:dyDescent="0.3">
      <c r="A35" s="263" t="s">
        <v>100</v>
      </c>
      <c r="B35" s="264"/>
      <c r="C35" s="265"/>
      <c r="D35" s="17">
        <f>VLOOKUP($A35,moduly_dodatkowe[],2,FALSE)</f>
        <v>3770</v>
      </c>
      <c r="E35" s="18" t="s">
        <v>4</v>
      </c>
      <c r="F35" s="36"/>
      <c r="G35" s="19">
        <f>IF(SUM(E$3:E$29)=0,IF(E35="TAK",D35,0),IF(O$30=0,0,IF(E35="TAK",D35,0)))</f>
        <v>0</v>
      </c>
      <c r="H35" s="123">
        <f t="shared" ref="H35:H61" si="4">IF(E35="TAK",1,0)</f>
        <v>0</v>
      </c>
    </row>
    <row r="36" spans="1:10" x14ac:dyDescent="0.3">
      <c r="A36" s="263" t="s">
        <v>50</v>
      </c>
      <c r="B36" s="264"/>
      <c r="C36" s="265"/>
      <c r="D36" s="17">
        <f>VLOOKUP($A36,moduly_dodatkowe[],2,FALSE)</f>
        <v>3770</v>
      </c>
      <c r="E36" s="18" t="s">
        <v>4</v>
      </c>
      <c r="F36" s="36"/>
      <c r="G36" s="19">
        <f t="shared" ref="G36:G60" si="5">IF(SUM(E$3:E$29)=0,IF(E36="TAK",D36,0),IF(O$30=0,0,IF(E36="TAK",D36,0)))</f>
        <v>0</v>
      </c>
      <c r="H36" s="123">
        <f t="shared" si="4"/>
        <v>0</v>
      </c>
    </row>
    <row r="37" spans="1:10" x14ac:dyDescent="0.3">
      <c r="A37" s="263" t="s">
        <v>101</v>
      </c>
      <c r="B37" s="264"/>
      <c r="C37" s="265"/>
      <c r="D37" s="17">
        <f>VLOOKUP($A37,moduly_dodatkowe[],2,FALSE)</f>
        <v>11400</v>
      </c>
      <c r="E37" s="18" t="s">
        <v>4</v>
      </c>
      <c r="F37" s="36"/>
      <c r="G37" s="19">
        <f t="shared" si="5"/>
        <v>0</v>
      </c>
      <c r="H37" s="123">
        <f t="shared" si="4"/>
        <v>0</v>
      </c>
      <c r="J37" s="125"/>
    </row>
    <row r="38" spans="1:10" x14ac:dyDescent="0.3">
      <c r="A38" s="263" t="s">
        <v>102</v>
      </c>
      <c r="B38" s="264"/>
      <c r="C38" s="265"/>
      <c r="D38" s="17">
        <f>VLOOKUP($A38,moduly_dodatkowe[],2,FALSE)</f>
        <v>1060</v>
      </c>
      <c r="E38" s="18" t="s">
        <v>4</v>
      </c>
      <c r="F38" s="36"/>
      <c r="G38" s="19">
        <f t="shared" si="5"/>
        <v>0</v>
      </c>
      <c r="H38" s="123">
        <f t="shared" si="4"/>
        <v>0</v>
      </c>
    </row>
    <row r="39" spans="1:10" x14ac:dyDescent="0.3">
      <c r="A39" s="263" t="s">
        <v>51</v>
      </c>
      <c r="B39" s="264"/>
      <c r="C39" s="265"/>
      <c r="D39" s="17">
        <f>VLOOKUP($A39,moduly_dodatkowe[],2,FALSE)</f>
        <v>3020</v>
      </c>
      <c r="E39" s="18" t="s">
        <v>4</v>
      </c>
      <c r="F39" s="36"/>
      <c r="G39" s="19">
        <f t="shared" si="5"/>
        <v>0</v>
      </c>
      <c r="H39" s="123">
        <f t="shared" si="4"/>
        <v>0</v>
      </c>
    </row>
    <row r="40" spans="1:10" x14ac:dyDescent="0.3">
      <c r="A40" s="263" t="s">
        <v>103</v>
      </c>
      <c r="B40" s="264"/>
      <c r="C40" s="265"/>
      <c r="D40" s="17">
        <f>VLOOKUP($A40,moduly_dodatkowe[],2,FALSE)</f>
        <v>3020</v>
      </c>
      <c r="E40" s="18" t="s">
        <v>4</v>
      </c>
      <c r="F40" s="36"/>
      <c r="G40" s="19">
        <f t="shared" si="5"/>
        <v>0</v>
      </c>
      <c r="H40" s="123">
        <f t="shared" si="4"/>
        <v>0</v>
      </c>
    </row>
    <row r="41" spans="1:10" x14ac:dyDescent="0.3">
      <c r="A41" s="263" t="s">
        <v>99</v>
      </c>
      <c r="B41" s="264"/>
      <c r="C41" s="265"/>
      <c r="D41" s="17">
        <f>VLOOKUP($A41,moduly_dodatkowe[],2,FALSE)</f>
        <v>2270</v>
      </c>
      <c r="E41" s="18" t="s">
        <v>4</v>
      </c>
      <c r="F41" s="36"/>
      <c r="G41" s="19">
        <f t="shared" si="5"/>
        <v>0</v>
      </c>
      <c r="H41" s="123">
        <f t="shared" si="4"/>
        <v>0</v>
      </c>
    </row>
    <row r="42" spans="1:10" x14ac:dyDescent="0.3">
      <c r="A42" s="263" t="s">
        <v>201</v>
      </c>
      <c r="B42" s="264"/>
      <c r="C42" s="265"/>
      <c r="D42" s="17">
        <f>VLOOKUP($A42,moduly_dodatkowe[],2,FALSE)</f>
        <v>6520</v>
      </c>
      <c r="E42" s="18" t="s">
        <v>4</v>
      </c>
      <c r="F42" s="36"/>
      <c r="G42" s="19">
        <f t="shared" si="5"/>
        <v>0</v>
      </c>
      <c r="H42" s="123">
        <f t="shared" si="4"/>
        <v>0</v>
      </c>
    </row>
    <row r="43" spans="1:10" x14ac:dyDescent="0.3">
      <c r="A43" s="263" t="s">
        <v>180</v>
      </c>
      <c r="B43" s="264"/>
      <c r="C43" s="265"/>
      <c r="D43" s="17">
        <f>VLOOKUP($A43,moduly_dodatkowe[],2,FALSE)</f>
        <v>1360</v>
      </c>
      <c r="E43" s="18" t="s">
        <v>4</v>
      </c>
      <c r="F43" s="36"/>
      <c r="G43" s="19">
        <f t="shared" si="5"/>
        <v>0</v>
      </c>
      <c r="H43" s="123">
        <f t="shared" si="4"/>
        <v>0</v>
      </c>
    </row>
    <row r="44" spans="1:10" x14ac:dyDescent="0.3">
      <c r="A44" s="263" t="s">
        <v>228</v>
      </c>
      <c r="B44" s="264"/>
      <c r="C44" s="265"/>
      <c r="D44" s="17">
        <f>VLOOKUP($A44,moduly_dodatkowe[],2,FALSE)</f>
        <v>3640</v>
      </c>
      <c r="E44" s="18" t="s">
        <v>4</v>
      </c>
      <c r="F44" s="36"/>
      <c r="G44" s="19">
        <f t="shared" si="5"/>
        <v>0</v>
      </c>
      <c r="H44" s="123">
        <f t="shared" si="4"/>
        <v>0</v>
      </c>
    </row>
    <row r="45" spans="1:10" x14ac:dyDescent="0.3">
      <c r="A45" s="263" t="s">
        <v>87</v>
      </c>
      <c r="B45" s="264"/>
      <c r="C45" s="265"/>
      <c r="D45" s="17">
        <f>VLOOKUP($A45,moduly_dodatkowe[],2,FALSE)</f>
        <v>3770</v>
      </c>
      <c r="E45" s="18" t="s">
        <v>4</v>
      </c>
      <c r="F45" s="36"/>
      <c r="G45" s="19">
        <f t="shared" si="5"/>
        <v>0</v>
      </c>
      <c r="H45" s="123">
        <f t="shared" si="4"/>
        <v>0</v>
      </c>
    </row>
    <row r="46" spans="1:10" x14ac:dyDescent="0.3">
      <c r="A46" s="263" t="s">
        <v>45</v>
      </c>
      <c r="B46" s="264"/>
      <c r="C46" s="265"/>
      <c r="D46" s="17">
        <f>VLOOKUP($A46,moduly_dodatkowe[],2,FALSE)</f>
        <v>3020</v>
      </c>
      <c r="E46" s="18" t="s">
        <v>4</v>
      </c>
      <c r="F46" s="36"/>
      <c r="G46" s="19">
        <f t="shared" si="5"/>
        <v>0</v>
      </c>
      <c r="H46" s="123">
        <f t="shared" si="4"/>
        <v>0</v>
      </c>
    </row>
    <row r="47" spans="1:10" x14ac:dyDescent="0.3">
      <c r="A47" s="263" t="s">
        <v>46</v>
      </c>
      <c r="B47" s="264"/>
      <c r="C47" s="265"/>
      <c r="D47" s="17">
        <f>VLOOKUP($A47,moduly_dodatkowe[],2,FALSE)</f>
        <v>3330</v>
      </c>
      <c r="E47" s="18" t="s">
        <v>4</v>
      </c>
      <c r="F47" s="36"/>
      <c r="G47" s="19">
        <f t="shared" si="5"/>
        <v>0</v>
      </c>
      <c r="H47" s="123">
        <f t="shared" si="4"/>
        <v>0</v>
      </c>
    </row>
    <row r="48" spans="1:10" x14ac:dyDescent="0.3">
      <c r="A48" s="263" t="s">
        <v>47</v>
      </c>
      <c r="B48" s="264"/>
      <c r="C48" s="265"/>
      <c r="D48" s="17">
        <f>VLOOKUP($A48,moduly_dodatkowe[],2,FALSE)</f>
        <v>3770</v>
      </c>
      <c r="E48" s="18" t="s">
        <v>4</v>
      </c>
      <c r="F48" s="36"/>
      <c r="G48" s="19">
        <f t="shared" si="5"/>
        <v>0</v>
      </c>
      <c r="H48" s="123">
        <f t="shared" si="4"/>
        <v>0</v>
      </c>
    </row>
    <row r="49" spans="1:10" x14ac:dyDescent="0.3">
      <c r="A49" s="263" t="s">
        <v>48</v>
      </c>
      <c r="B49" s="264"/>
      <c r="C49" s="265"/>
      <c r="D49" s="17">
        <f>VLOOKUP($A49,moduly_dodatkowe[],2,FALSE)</f>
        <v>2270</v>
      </c>
      <c r="E49" s="18" t="s">
        <v>4</v>
      </c>
      <c r="F49" s="36"/>
      <c r="G49" s="19">
        <f t="shared" si="5"/>
        <v>0</v>
      </c>
      <c r="H49" s="123">
        <f t="shared" si="4"/>
        <v>0</v>
      </c>
    </row>
    <row r="50" spans="1:10" x14ac:dyDescent="0.3">
      <c r="A50" s="263" t="s">
        <v>49</v>
      </c>
      <c r="B50" s="264"/>
      <c r="C50" s="265"/>
      <c r="D50" s="17">
        <f>VLOOKUP($A50,moduly_dodatkowe[],2,FALSE)</f>
        <v>2270</v>
      </c>
      <c r="E50" s="18" t="s">
        <v>4</v>
      </c>
      <c r="F50" s="36"/>
      <c r="G50" s="19">
        <f t="shared" si="5"/>
        <v>0</v>
      </c>
      <c r="H50" s="123">
        <f t="shared" si="4"/>
        <v>0</v>
      </c>
    </row>
    <row r="51" spans="1:10" x14ac:dyDescent="0.3">
      <c r="A51" s="263" t="s">
        <v>56</v>
      </c>
      <c r="B51" s="264"/>
      <c r="C51" s="265"/>
      <c r="D51" s="17">
        <f>VLOOKUP($A51,moduly_dodatkowe[],2,FALSE)</f>
        <v>1100</v>
      </c>
      <c r="E51" s="18" t="s">
        <v>4</v>
      </c>
      <c r="F51" s="36"/>
      <c r="G51" s="19">
        <f t="shared" si="5"/>
        <v>0</v>
      </c>
      <c r="H51" s="123">
        <f t="shared" si="4"/>
        <v>0</v>
      </c>
    </row>
    <row r="52" spans="1:10" x14ac:dyDescent="0.3">
      <c r="A52" s="263" t="s">
        <v>104</v>
      </c>
      <c r="B52" s="264"/>
      <c r="C52" s="265"/>
      <c r="D52" s="17">
        <f>VLOOKUP($A52,moduly_dodatkowe[],2,FALSE)</f>
        <v>295</v>
      </c>
      <c r="E52" s="18" t="s">
        <v>4</v>
      </c>
      <c r="F52" s="36"/>
      <c r="G52" s="19">
        <f t="shared" si="5"/>
        <v>0</v>
      </c>
      <c r="H52" s="123">
        <f t="shared" si="4"/>
        <v>0</v>
      </c>
    </row>
    <row r="53" spans="1:10" x14ac:dyDescent="0.3">
      <c r="A53" s="263" t="s">
        <v>55</v>
      </c>
      <c r="B53" s="264"/>
      <c r="C53" s="265"/>
      <c r="D53" s="17">
        <f>VLOOKUP($A53,moduly_dodatkowe[],2,FALSE)</f>
        <v>3020</v>
      </c>
      <c r="E53" s="18" t="s">
        <v>4</v>
      </c>
      <c r="F53" s="36"/>
      <c r="G53" s="19">
        <f t="shared" si="5"/>
        <v>0</v>
      </c>
      <c r="H53" s="123">
        <f t="shared" si="4"/>
        <v>0</v>
      </c>
    </row>
    <row r="54" spans="1:10" x14ac:dyDescent="0.3">
      <c r="A54" s="263" t="s">
        <v>150</v>
      </c>
      <c r="B54" s="264"/>
      <c r="C54" s="265"/>
      <c r="D54" s="17">
        <f>VLOOKUP($A54,moduly_dodatkowe[],2,FALSE)</f>
        <v>3670</v>
      </c>
      <c r="E54" s="18" t="s">
        <v>4</v>
      </c>
      <c r="F54" s="36"/>
      <c r="G54" s="19">
        <f t="shared" si="5"/>
        <v>0</v>
      </c>
      <c r="H54" s="123">
        <f t="shared" si="4"/>
        <v>0</v>
      </c>
    </row>
    <row r="55" spans="1:10" x14ac:dyDescent="0.3">
      <c r="A55" s="263" t="s">
        <v>97</v>
      </c>
      <c r="B55" s="264"/>
      <c r="C55" s="265"/>
      <c r="D55" s="17">
        <f>VLOOKUP($A55,moduly_dodatkowe[],2,FALSE)</f>
        <v>7570</v>
      </c>
      <c r="E55" s="18" t="s">
        <v>4</v>
      </c>
      <c r="F55" s="36"/>
      <c r="G55" s="19">
        <f t="shared" si="5"/>
        <v>0</v>
      </c>
      <c r="H55" s="123">
        <f t="shared" si="4"/>
        <v>0</v>
      </c>
    </row>
    <row r="56" spans="1:10" x14ac:dyDescent="0.3">
      <c r="A56" s="263" t="s">
        <v>181</v>
      </c>
      <c r="B56" s="264"/>
      <c r="C56" s="265"/>
      <c r="D56" s="17">
        <f>VLOOKUP($A56,moduly_dodatkowe[],2,FALSE)</f>
        <v>2460</v>
      </c>
      <c r="E56" s="18" t="s">
        <v>4</v>
      </c>
      <c r="F56" s="36"/>
      <c r="G56" s="19">
        <f t="shared" si="5"/>
        <v>0</v>
      </c>
      <c r="H56" s="123">
        <f t="shared" si="4"/>
        <v>0</v>
      </c>
    </row>
    <row r="57" spans="1:10" x14ac:dyDescent="0.3">
      <c r="A57" s="263" t="s">
        <v>53</v>
      </c>
      <c r="B57" s="264"/>
      <c r="C57" s="265"/>
      <c r="D57" s="17">
        <f>VLOOKUP($A57,moduly_dodatkowe[],2,FALSE)</f>
        <v>1360</v>
      </c>
      <c r="E57" s="18" t="s">
        <v>4</v>
      </c>
      <c r="F57" s="36"/>
      <c r="G57" s="19">
        <f t="shared" si="5"/>
        <v>0</v>
      </c>
      <c r="H57" s="123">
        <f t="shared" si="4"/>
        <v>0</v>
      </c>
    </row>
    <row r="58" spans="1:10" x14ac:dyDescent="0.3">
      <c r="A58" s="263" t="s">
        <v>54</v>
      </c>
      <c r="B58" s="264"/>
      <c r="C58" s="265"/>
      <c r="D58" s="17">
        <f>VLOOKUP($A58,moduly_dodatkowe[],2,FALSE)</f>
        <v>1360</v>
      </c>
      <c r="E58" s="18" t="s">
        <v>4</v>
      </c>
      <c r="F58" s="36"/>
      <c r="G58" s="19">
        <f t="shared" si="5"/>
        <v>0</v>
      </c>
      <c r="H58" s="123">
        <f t="shared" si="4"/>
        <v>0</v>
      </c>
    </row>
    <row r="59" spans="1:10" x14ac:dyDescent="0.3">
      <c r="A59" s="263" t="s">
        <v>70</v>
      </c>
      <c r="B59" s="264"/>
      <c r="C59" s="265"/>
      <c r="D59" s="17">
        <f>VLOOKUP($A59,moduly_dodatkowe[],2,FALSE)</f>
        <v>3020</v>
      </c>
      <c r="E59" s="18" t="s">
        <v>4</v>
      </c>
      <c r="F59" s="36"/>
      <c r="G59" s="19">
        <f t="shared" si="5"/>
        <v>0</v>
      </c>
      <c r="H59" s="123">
        <f t="shared" si="4"/>
        <v>0</v>
      </c>
    </row>
    <row r="60" spans="1:10" x14ac:dyDescent="0.3">
      <c r="A60" s="263" t="s">
        <v>226</v>
      </c>
      <c r="B60" s="264"/>
      <c r="C60" s="265"/>
      <c r="D60" s="17">
        <f>VLOOKUP($A60,moduly_dodatkowe[],2,FALSE)</f>
        <v>2770</v>
      </c>
      <c r="E60" s="18" t="s">
        <v>4</v>
      </c>
      <c r="F60" s="36"/>
      <c r="G60" s="19">
        <f t="shared" si="5"/>
        <v>0</v>
      </c>
      <c r="H60" s="123">
        <f t="shared" si="4"/>
        <v>0</v>
      </c>
    </row>
    <row r="61" spans="1:10" x14ac:dyDescent="0.3">
      <c r="A61" s="263" t="s">
        <v>227</v>
      </c>
      <c r="B61" s="264"/>
      <c r="C61" s="265"/>
      <c r="D61" s="17">
        <f>VLOOKUP($A61,moduly_dodatkowe[],2,FALSE)</f>
        <v>16430</v>
      </c>
      <c r="E61" s="18" t="s">
        <v>4</v>
      </c>
      <c r="F61" s="36"/>
      <c r="G61" s="19">
        <f>IF(E61="TAK",D61,0)</f>
        <v>0</v>
      </c>
      <c r="H61" s="123">
        <f t="shared" si="4"/>
        <v>0</v>
      </c>
      <c r="J61" s="242" t="str">
        <f>IF(E61="TAK","dodatek płatny dla wszystkich wersji kolorystycznych enova365"," ")</f>
        <v xml:space="preserve"> </v>
      </c>
    </row>
    <row r="62" spans="1:10" x14ac:dyDescent="0.3">
      <c r="A62" s="26" t="s">
        <v>15</v>
      </c>
      <c r="B62" s="27"/>
      <c r="C62" s="28"/>
      <c r="D62" s="28"/>
      <c r="E62" s="29"/>
      <c r="F62" s="30"/>
      <c r="G62" s="22">
        <f>SUM(G35:G61)</f>
        <v>0</v>
      </c>
      <c r="H62" s="123">
        <f>H34</f>
        <v>0</v>
      </c>
      <c r="I62" s="123" t="s">
        <v>29</v>
      </c>
    </row>
    <row r="63" spans="1:10" x14ac:dyDescent="0.3">
      <c r="A63" s="258" t="s">
        <v>35</v>
      </c>
      <c r="B63" s="259"/>
      <c r="C63" s="260"/>
      <c r="D63" s="31"/>
      <c r="E63" s="23"/>
      <c r="F63" s="32"/>
      <c r="G63" s="24"/>
      <c r="H63" s="123">
        <f>IF(G67&gt;0,1,0)</f>
        <v>0</v>
      </c>
    </row>
    <row r="64" spans="1:10" x14ac:dyDescent="0.3">
      <c r="A64" s="33"/>
      <c r="B64" s="34"/>
      <c r="C64" s="21" t="s">
        <v>26</v>
      </c>
      <c r="D64" s="21"/>
      <c r="E64" s="35" t="s">
        <v>24</v>
      </c>
      <c r="F64" s="36"/>
      <c r="G64" s="19"/>
      <c r="H64" s="123">
        <f>IF(G67&gt;0,1,0)</f>
        <v>0</v>
      </c>
    </row>
    <row r="65" spans="1:10" x14ac:dyDescent="0.3">
      <c r="A65" s="37" t="s">
        <v>22</v>
      </c>
      <c r="B65" s="18" t="s">
        <v>4</v>
      </c>
      <c r="C65" s="17">
        <f>VLOOKUP($A65,tabele[],2,FALSE)</f>
        <v>545</v>
      </c>
      <c r="D65" s="17"/>
      <c r="E65" s="18">
        <v>1</v>
      </c>
      <c r="F65" s="36"/>
      <c r="G65" s="19">
        <f>IF(SUM(E$3:E$28)=0,IF(B65="TAK",C65*E65,0),IF(O$30=0,0,IF(B65="TAK",C65*E65,0)))</f>
        <v>0</v>
      </c>
      <c r="H65" s="123">
        <f>IF(G65&gt;0,1,0)</f>
        <v>0</v>
      </c>
    </row>
    <row r="66" spans="1:10" x14ac:dyDescent="0.3">
      <c r="A66" s="37" t="s">
        <v>23</v>
      </c>
      <c r="B66" s="18" t="s">
        <v>4</v>
      </c>
      <c r="C66" s="17">
        <f>VLOOKUP($A66,tabele[],2,FALSE)</f>
        <v>1100</v>
      </c>
      <c r="D66" s="17"/>
      <c r="E66" s="18">
        <v>1</v>
      </c>
      <c r="F66" s="36"/>
      <c r="G66" s="19">
        <f>IF(AND(B66="TAK",B65="tak"),(IF(E65&lt;5,"1..5 musi być 5",IF(SUM(E$3:E$28)=0,IF(B66="TAK",C66*E66,0),IF(O$30=0,0,IF(B66="TAK",C66*E66,0))))),0)</f>
        <v>0</v>
      </c>
      <c r="H66" s="123">
        <f>IF(G66&gt;0,1,0)</f>
        <v>0</v>
      </c>
    </row>
    <row r="67" spans="1:10" x14ac:dyDescent="0.3">
      <c r="A67" s="26" t="s">
        <v>16</v>
      </c>
      <c r="B67" s="38"/>
      <c r="C67" s="39"/>
      <c r="D67" s="39"/>
      <c r="E67" s="38"/>
      <c r="F67" s="40"/>
      <c r="G67" s="41">
        <f>SUM(G65:G66)</f>
        <v>0</v>
      </c>
      <c r="H67" s="123">
        <f>IF(G67&gt;0,1,0)</f>
        <v>0</v>
      </c>
    </row>
    <row r="68" spans="1:10" x14ac:dyDescent="0.3">
      <c r="A68" s="258" t="s">
        <v>159</v>
      </c>
      <c r="B68" s="259"/>
      <c r="C68" s="260"/>
      <c r="D68" s="31"/>
      <c r="E68" s="65" t="s">
        <v>160</v>
      </c>
      <c r="F68" s="133"/>
      <c r="G68" s="24"/>
      <c r="H68" s="123">
        <f>IF(G76&gt;0,1,0)</f>
        <v>0</v>
      </c>
      <c r="J68" s="135"/>
    </row>
    <row r="69" spans="1:10" x14ac:dyDescent="0.3">
      <c r="A69" s="37" t="s">
        <v>58</v>
      </c>
      <c r="B69" s="25" t="s">
        <v>4</v>
      </c>
      <c r="C69" s="17">
        <f>VLOOKUP(E69,pulpity_KP[],2,FALSE)</f>
        <v>4540</v>
      </c>
      <c r="D69" s="17"/>
      <c r="E69" s="18" t="s">
        <v>168</v>
      </c>
      <c r="F69" s="36"/>
      <c r="G69" s="19">
        <f>IF(B69="TAK",C69,0)</f>
        <v>0</v>
      </c>
      <c r="H69" s="123">
        <f t="shared" ref="H69:H92" si="6">IF(G69&gt;0,1,0)</f>
        <v>0</v>
      </c>
      <c r="J69" s="135"/>
    </row>
    <row r="70" spans="1:10" x14ac:dyDescent="0.3">
      <c r="A70" s="37" t="s">
        <v>30</v>
      </c>
      <c r="B70" s="25" t="s">
        <v>4</v>
      </c>
      <c r="C70" s="17">
        <f>VLOOKUP(A70,pulpity_KP[],2,FALSE)</f>
        <v>305</v>
      </c>
      <c r="D70" s="17"/>
      <c r="E70" s="136">
        <v>0</v>
      </c>
      <c r="F70" s="36"/>
      <c r="G70" s="19">
        <f>IF(B70="TAK",C70*E70,0)</f>
        <v>0</v>
      </c>
      <c r="H70" s="123">
        <f t="shared" si="6"/>
        <v>0</v>
      </c>
    </row>
    <row r="71" spans="1:10" x14ac:dyDescent="0.3">
      <c r="A71" s="37" t="s">
        <v>71</v>
      </c>
      <c r="B71" s="25" t="s">
        <v>4</v>
      </c>
      <c r="C71" s="17">
        <f>VLOOKUP(E71,pulpity_HA[],2,FALSE)</f>
        <v>3600</v>
      </c>
      <c r="D71" s="17"/>
      <c r="E71" s="18" t="s">
        <v>168</v>
      </c>
      <c r="F71" s="36"/>
      <c r="G71" s="19">
        <f>IF(B71="TAK",C71,0)</f>
        <v>0</v>
      </c>
      <c r="H71" s="123">
        <f t="shared" si="6"/>
        <v>0</v>
      </c>
    </row>
    <row r="72" spans="1:10" x14ac:dyDescent="0.3">
      <c r="A72" s="37" t="s">
        <v>72</v>
      </c>
      <c r="B72" s="25" t="s">
        <v>4</v>
      </c>
      <c r="C72" s="17">
        <f>VLOOKUP(E72,pulpity_WF[],2,FALSE)</f>
        <v>2270</v>
      </c>
      <c r="D72" s="17"/>
      <c r="E72" s="18" t="s">
        <v>168</v>
      </c>
      <c r="F72" s="36"/>
      <c r="G72" s="19">
        <f>IF(B72="TAK",C72,0)</f>
        <v>0</v>
      </c>
      <c r="H72" s="123">
        <f t="shared" si="6"/>
        <v>0</v>
      </c>
      <c r="J72" s="124"/>
    </row>
    <row r="73" spans="1:10" x14ac:dyDescent="0.3">
      <c r="A73" s="222" t="s">
        <v>200</v>
      </c>
      <c r="B73" s="218" t="s">
        <v>4</v>
      </c>
      <c r="C73" s="219">
        <f>VLOOKUP(E73,pulpity_BI[],2,FALSE)</f>
        <v>1290</v>
      </c>
      <c r="D73" s="219"/>
      <c r="E73" s="220" t="s">
        <v>168</v>
      </c>
      <c r="F73" s="224"/>
      <c r="G73" s="221">
        <f>IF(B73="TAK",C73,0)</f>
        <v>0</v>
      </c>
      <c r="H73" s="123">
        <f t="shared" si="6"/>
        <v>0</v>
      </c>
      <c r="J73" s="124"/>
    </row>
    <row r="74" spans="1:10" x14ac:dyDescent="0.3">
      <c r="A74" s="222" t="s">
        <v>225</v>
      </c>
      <c r="B74" s="218" t="s">
        <v>4</v>
      </c>
      <c r="C74" s="219">
        <f>VLOOKUP(E74,enova365_Praca_Hybrydowa_w_Pulpitach,2,FALSE)</f>
        <v>2160</v>
      </c>
      <c r="D74" s="219"/>
      <c r="E74" s="220" t="s">
        <v>168</v>
      </c>
      <c r="F74" s="224"/>
      <c r="G74" s="221">
        <f>IF(B74="TAK",C74,0)</f>
        <v>0</v>
      </c>
      <c r="H74" s="123">
        <f t="shared" si="6"/>
        <v>0</v>
      </c>
      <c r="J74" s="124"/>
    </row>
    <row r="75" spans="1:10" x14ac:dyDescent="0.3">
      <c r="A75" s="37" t="s">
        <v>98</v>
      </c>
      <c r="B75" s="25" t="s">
        <v>4</v>
      </c>
      <c r="C75" s="17">
        <f>VLOOKUP(A75,pulpity_KP[],2,FALSE)</f>
        <v>7520</v>
      </c>
      <c r="D75" s="17"/>
      <c r="E75" s="17"/>
      <c r="F75" s="36"/>
      <c r="G75" s="19">
        <f>IF(B75="TAK",C75,0)</f>
        <v>0</v>
      </c>
      <c r="H75" s="123">
        <f t="shared" si="6"/>
        <v>0</v>
      </c>
      <c r="J75" s="188"/>
    </row>
    <row r="76" spans="1:10" x14ac:dyDescent="0.3">
      <c r="A76" s="42" t="s">
        <v>37</v>
      </c>
      <c r="B76" s="38"/>
      <c r="C76" s="39"/>
      <c r="D76" s="39"/>
      <c r="E76" s="38"/>
      <c r="F76" s="40"/>
      <c r="G76" s="41">
        <f>SUM(G69:G75)</f>
        <v>0</v>
      </c>
      <c r="H76" s="123">
        <f t="shared" si="6"/>
        <v>0</v>
      </c>
    </row>
    <row r="77" spans="1:10" x14ac:dyDescent="0.3">
      <c r="A77" s="258" t="s">
        <v>151</v>
      </c>
      <c r="B77" s="259"/>
      <c r="C77" s="260"/>
      <c r="D77" s="31"/>
      <c r="E77" s="23"/>
      <c r="F77" s="32"/>
      <c r="G77" s="24"/>
      <c r="H77" s="123">
        <f t="shared" si="6"/>
        <v>0</v>
      </c>
    </row>
    <row r="78" spans="1:10" x14ac:dyDescent="0.3">
      <c r="A78" s="17" t="str">
        <f>'Cennik enova365'!A139</f>
        <v xml:space="preserve">Pakiet "Nowa Firma" </v>
      </c>
      <c r="B78" s="261" t="s">
        <v>161</v>
      </c>
      <c r="C78" s="17">
        <f>VLOOKUP($A78,pakiety[],2,FALSE)</f>
        <v>1640</v>
      </c>
      <c r="D78" s="189"/>
      <c r="E78" s="18" t="s">
        <v>4</v>
      </c>
      <c r="F78" s="36" t="str">
        <f t="shared" ref="F78:F82" si="7">IF(E78="TAK",A78," ")</f>
        <v xml:space="preserve"> </v>
      </c>
      <c r="G78" s="19">
        <f t="shared" ref="G78:G82" si="8">IF(E78="TAK",C78,0)</f>
        <v>0</v>
      </c>
      <c r="H78" s="123">
        <f t="shared" si="6"/>
        <v>0</v>
      </c>
    </row>
    <row r="79" spans="1:10" x14ac:dyDescent="0.3">
      <c r="A79" s="17" t="str">
        <f>'Cennik enova365'!A140</f>
        <v>Pakiet "Nowa Firma Plus"</v>
      </c>
      <c r="B79" s="262"/>
      <c r="C79" s="17">
        <f>VLOOKUP($A79,pakiety[],2,FALSE)</f>
        <v>6100</v>
      </c>
      <c r="D79" s="17"/>
      <c r="E79" s="18" t="s">
        <v>4</v>
      </c>
      <c r="F79" s="36" t="str">
        <f t="shared" si="7"/>
        <v xml:space="preserve"> </v>
      </c>
      <c r="G79" s="19">
        <f t="shared" si="8"/>
        <v>0</v>
      </c>
      <c r="H79" s="123">
        <f t="shared" si="6"/>
        <v>0</v>
      </c>
      <c r="J79" s="191"/>
    </row>
    <row r="80" spans="1:10" x14ac:dyDescent="0.3">
      <c r="A80" s="17" t="str">
        <f>'Cennik enova365'!A141</f>
        <v>Pakiet "Nowa Firma Pro"</v>
      </c>
      <c r="B80" s="262"/>
      <c r="C80" s="17">
        <f>VLOOKUP($A80,pakiety[],2,FALSE)</f>
        <v>10950</v>
      </c>
      <c r="D80" s="17"/>
      <c r="E80" s="18" t="s">
        <v>4</v>
      </c>
      <c r="F80" s="36" t="str">
        <f t="shared" si="7"/>
        <v xml:space="preserve"> </v>
      </c>
      <c r="G80" s="19">
        <f t="shared" si="8"/>
        <v>0</v>
      </c>
      <c r="H80" s="123">
        <f t="shared" si="6"/>
        <v>0</v>
      </c>
      <c r="J80" s="192"/>
    </row>
    <row r="81" spans="1:11" x14ac:dyDescent="0.3">
      <c r="A81" s="17" t="str">
        <f>'Cennik enova365'!A142</f>
        <v xml:space="preserve">Pakiet "Fundacja" </v>
      </c>
      <c r="B81" s="261" t="s">
        <v>161</v>
      </c>
      <c r="C81" s="17">
        <f>VLOOKUP($A81,pakiety[],2,FALSE)</f>
        <v>4620</v>
      </c>
      <c r="D81" s="17"/>
      <c r="E81" s="18" t="s">
        <v>4</v>
      </c>
      <c r="F81" s="36" t="str">
        <f t="shared" si="7"/>
        <v xml:space="preserve"> </v>
      </c>
      <c r="G81" s="19">
        <f t="shared" si="8"/>
        <v>0</v>
      </c>
      <c r="H81" s="123">
        <f>IF(G81&gt;0,1,0)</f>
        <v>0</v>
      </c>
      <c r="J81" s="190"/>
    </row>
    <row r="82" spans="1:11" x14ac:dyDescent="0.3">
      <c r="A82" s="208" t="s">
        <v>199</v>
      </c>
      <c r="B82" s="266"/>
      <c r="C82" s="17">
        <f>VLOOKUP($A82,pakiety[],2,FALSE)</f>
        <v>5990</v>
      </c>
      <c r="D82" s="17"/>
      <c r="E82" s="18" t="s">
        <v>4</v>
      </c>
      <c r="F82" s="36" t="str">
        <f t="shared" si="7"/>
        <v xml:space="preserve"> </v>
      </c>
      <c r="G82" s="19">
        <f t="shared" si="8"/>
        <v>0</v>
      </c>
      <c r="H82" s="123">
        <f>IF(G82&gt;0,1,0)</f>
        <v>0</v>
      </c>
      <c r="J82" s="190"/>
    </row>
    <row r="83" spans="1:11" x14ac:dyDescent="0.3">
      <c r="A83" s="42" t="s">
        <v>17</v>
      </c>
      <c r="B83" s="209"/>
      <c r="C83" s="39"/>
      <c r="D83" s="39"/>
      <c r="E83" s="38"/>
      <c r="F83" s="40"/>
      <c r="G83" s="41">
        <f>IF((COUNTIF(G78:G82,"&gt;0"))&gt;1,"wybierz 1 pakiet",SUM(G78:G82))</f>
        <v>0</v>
      </c>
      <c r="H83" s="123">
        <f t="shared" si="6"/>
        <v>0</v>
      </c>
      <c r="J83" s="191"/>
      <c r="K83" s="124"/>
    </row>
    <row r="84" spans="1:11" x14ac:dyDescent="0.3">
      <c r="A84" s="43" t="s">
        <v>68</v>
      </c>
      <c r="B84" s="44"/>
      <c r="C84" s="44"/>
      <c r="D84" s="44"/>
      <c r="E84" s="44"/>
      <c r="F84" s="45"/>
      <c r="G84" s="46">
        <f>G30+G33+G62+G67+G76+G83</f>
        <v>0</v>
      </c>
      <c r="H84" s="123">
        <f t="shared" si="6"/>
        <v>0</v>
      </c>
      <c r="J84" s="191"/>
    </row>
    <row r="85" spans="1:11" x14ac:dyDescent="0.3">
      <c r="A85" s="47"/>
      <c r="B85" s="18" t="s">
        <v>18</v>
      </c>
      <c r="C85" s="113">
        <v>0</v>
      </c>
      <c r="D85" s="114"/>
      <c r="E85" s="18" t="s">
        <v>4</v>
      </c>
      <c r="F85" s="115"/>
      <c r="G85" s="116">
        <f>IF(E85="TAK",(G84-G83)*C85,0)</f>
        <v>0</v>
      </c>
      <c r="H85" s="123">
        <f t="shared" si="6"/>
        <v>0</v>
      </c>
    </row>
    <row r="86" spans="1:11" x14ac:dyDescent="0.3">
      <c r="A86" s="48"/>
      <c r="B86" s="184" t="s">
        <v>19</v>
      </c>
      <c r="C86" s="185"/>
      <c r="D86" s="185"/>
      <c r="E86" s="184"/>
      <c r="F86" s="184"/>
      <c r="G86" s="186">
        <f>G85</f>
        <v>0</v>
      </c>
      <c r="H86" s="123">
        <f t="shared" si="6"/>
        <v>0</v>
      </c>
      <c r="J86" s="191"/>
    </row>
    <row r="87" spans="1:11" x14ac:dyDescent="0.3">
      <c r="A87" s="258" t="s">
        <v>234</v>
      </c>
      <c r="B87" s="259"/>
      <c r="C87" s="260"/>
      <c r="D87" s="31"/>
      <c r="E87" s="132" t="s">
        <v>34</v>
      </c>
      <c r="F87" s="133"/>
      <c r="G87" s="24"/>
      <c r="H87" s="123">
        <f t="shared" si="6"/>
        <v>0</v>
      </c>
      <c r="J87" s="191"/>
    </row>
    <row r="88" spans="1:11" ht="33" customHeight="1" x14ac:dyDescent="0.3">
      <c r="A88" s="37" t="s">
        <v>139</v>
      </c>
      <c r="B88" s="181" t="s">
        <v>4</v>
      </c>
      <c r="C88" s="183" t="str">
        <f>IF(E88="5 000 stron rocznie",'Cennik enova365'!B161,IF(E88="10 000 stron rocznie",'Cennik enova365'!B162,IF(E88="15 000 stron rocznie",'Cennik enova365'!B163,IF(E88="20 000 stron rocznie",'Cennik enova365'!B164,IF(E88="25 000 stron rocznie",'Cennik enova365'!B165,IF(E88="30 000 stron rocznie",'Cennik enova365'!B166,IF(E88="35 000 stron rocznie",'Cennik enova365'!B167,IF(E88="40 000 stron rocznie",'Cennik enova365'!B168,IF(E88="45 000 stron rocznie",'Cennik enova365'!B169,IF(E88="50 000 stron rocznie",'Cennik enova365'!B170,IF(E88="55 000 stron rocznie",'Cennik enova365'!B171,IF(E88="60 000 stron rocznie",'Cennik enova365'!B172,IF(E88="powyżej 60 000 stron rocznie",'Cennik enova365'!B173)))))))))))))</f>
        <v>roczna nielimitowane stacje</v>
      </c>
      <c r="D88" s="17" t="s">
        <v>218</v>
      </c>
      <c r="E88" s="136" t="s">
        <v>143</v>
      </c>
      <c r="F88" s="36"/>
      <c r="G88" s="187">
        <f>IF(B88="TAK",C88,0)</f>
        <v>0</v>
      </c>
      <c r="H88" s="123">
        <f t="shared" si="6"/>
        <v>0</v>
      </c>
      <c r="J88" s="249" t="str">
        <f>IF(B88="TAK","Licencję należy odnowić po roku"," ")</f>
        <v xml:space="preserve"> </v>
      </c>
    </row>
    <row r="89" spans="1:11" x14ac:dyDescent="0.3">
      <c r="A89" s="42" t="s">
        <v>142</v>
      </c>
      <c r="B89" s="38"/>
      <c r="C89" s="39"/>
      <c r="D89" s="39"/>
      <c r="E89" s="38"/>
      <c r="F89" s="40"/>
      <c r="G89" s="41">
        <f>SUM(G88:G88)</f>
        <v>0</v>
      </c>
      <c r="H89" s="123">
        <f t="shared" si="6"/>
        <v>0</v>
      </c>
    </row>
    <row r="90" spans="1:11" x14ac:dyDescent="0.3">
      <c r="A90" s="75" t="s">
        <v>105</v>
      </c>
      <c r="B90" s="137"/>
      <c r="C90" s="137"/>
      <c r="D90" s="137"/>
      <c r="E90" s="137"/>
      <c r="F90" s="138"/>
      <c r="G90" s="139">
        <f>(G84-G86)+G89</f>
        <v>0</v>
      </c>
      <c r="H90" s="123">
        <f t="shared" si="6"/>
        <v>0</v>
      </c>
    </row>
    <row r="91" spans="1:11" customFormat="1" x14ac:dyDescent="0.3">
      <c r="A91" s="76" t="s">
        <v>106</v>
      </c>
      <c r="B91" s="77"/>
      <c r="C91" s="77"/>
      <c r="D91" s="77"/>
      <c r="E91" s="77"/>
      <c r="F91" s="78"/>
      <c r="G91" s="79">
        <f>G90*1.23</f>
        <v>0</v>
      </c>
      <c r="H91" s="123">
        <f t="shared" si="6"/>
        <v>0</v>
      </c>
    </row>
    <row r="92" spans="1:11" customFormat="1" x14ac:dyDescent="0.3">
      <c r="A92" s="240" t="s">
        <v>140</v>
      </c>
      <c r="B92" s="241"/>
      <c r="C92" s="199"/>
      <c r="D92" s="199"/>
      <c r="E92" s="199"/>
      <c r="F92" s="199"/>
      <c r="G92" s="147">
        <f>(G84-G83)*'Cennik enova365'!$K$43+IFERROR((VLOOKUP(IFERROR(VLOOKUP("TAK",$E$78:$F$82,2,FALSE),0),pakiety[],3,FALSE)*'Cennik enova365'!$K$43),0)</f>
        <v>0</v>
      </c>
      <c r="H92" s="123">
        <f t="shared" si="6"/>
        <v>0</v>
      </c>
    </row>
    <row r="93" spans="1:11" customFormat="1" x14ac:dyDescent="0.3">
      <c r="A93" s="169" t="s">
        <v>81</v>
      </c>
      <c r="B93" s="169"/>
      <c r="C93" s="169"/>
      <c r="D93" s="15"/>
      <c r="E93" s="15"/>
      <c r="F93" s="15"/>
      <c r="G93" s="15"/>
      <c r="H93" s="123">
        <v>1</v>
      </c>
    </row>
    <row r="94" spans="1:11" customFormat="1" x14ac:dyDescent="0.3">
      <c r="A94" s="15" t="s">
        <v>82</v>
      </c>
      <c r="B94" s="15"/>
      <c r="C94" s="15"/>
      <c r="D94" s="15"/>
      <c r="E94" s="15"/>
      <c r="F94" s="15"/>
      <c r="G94" s="15"/>
      <c r="H94" s="123">
        <v>1</v>
      </c>
    </row>
    <row r="95" spans="1:11" customFormat="1" x14ac:dyDescent="0.3">
      <c r="A95" s="15" t="s">
        <v>83</v>
      </c>
      <c r="B95" s="15"/>
      <c r="C95" s="15"/>
      <c r="D95" s="15"/>
      <c r="F95" s="15"/>
      <c r="G95" s="148"/>
      <c r="H95" s="123">
        <v>1</v>
      </c>
    </row>
    <row r="96" spans="1:11" customFormat="1" x14ac:dyDescent="0.3">
      <c r="H96" s="123">
        <v>1</v>
      </c>
    </row>
    <row r="97" spans="1:7" customFormat="1" ht="14.4" x14ac:dyDescent="0.3">
      <c r="G97" s="142"/>
    </row>
    <row r="98" spans="1:7" customFormat="1" ht="14.4" x14ac:dyDescent="0.3">
      <c r="A98" s="15"/>
      <c r="E98" s="15"/>
      <c r="G98" s="142"/>
    </row>
    <row r="99" spans="1:7" customFormat="1" ht="14.4" x14ac:dyDescent="0.3">
      <c r="A99" s="15"/>
    </row>
    <row r="100" spans="1:7" customFormat="1" ht="14.4" x14ac:dyDescent="0.3">
      <c r="G100" s="142"/>
    </row>
    <row r="101" spans="1:7" customFormat="1" x14ac:dyDescent="0.3">
      <c r="E101" s="152"/>
      <c r="G101" s="2"/>
    </row>
    <row r="102" spans="1:7" customFormat="1" ht="14.4" x14ac:dyDescent="0.3"/>
    <row r="103" spans="1:7" customFormat="1" ht="14.4" x14ac:dyDescent="0.3"/>
    <row r="104" spans="1:7" customFormat="1" ht="14.4" x14ac:dyDescent="0.3"/>
    <row r="105" spans="1:7" customFormat="1" ht="14.4" x14ac:dyDescent="0.3"/>
    <row r="106" spans="1:7" customFormat="1" ht="14.4" x14ac:dyDescent="0.3"/>
    <row r="107" spans="1:7" customFormat="1" ht="14.4" x14ac:dyDescent="0.3"/>
    <row r="108" spans="1:7" customFormat="1" ht="14.4" x14ac:dyDescent="0.3"/>
    <row r="109" spans="1:7" customFormat="1" ht="14.4" x14ac:dyDescent="0.3"/>
    <row r="110" spans="1:7" customFormat="1" ht="14.4" x14ac:dyDescent="0.3"/>
    <row r="111" spans="1:7" customFormat="1" ht="14.4" x14ac:dyDescent="0.3"/>
    <row r="112" spans="1:7" customFormat="1" ht="14.4" x14ac:dyDescent="0.3"/>
    <row r="113" spans="4:12" customFormat="1" ht="14.4" x14ac:dyDescent="0.3"/>
    <row r="114" spans="4:12" customFormat="1" ht="14.4" x14ac:dyDescent="0.3"/>
    <row r="115" spans="4:12" x14ac:dyDescent="0.3">
      <c r="D115"/>
      <c r="E115"/>
      <c r="F115"/>
      <c r="G115"/>
      <c r="H115"/>
    </row>
    <row r="116" spans="4:12" x14ac:dyDescent="0.3">
      <c r="H116" s="15"/>
    </row>
    <row r="117" spans="4:12" x14ac:dyDescent="0.3">
      <c r="H117" s="15"/>
    </row>
    <row r="118" spans="4:12" x14ac:dyDescent="0.3">
      <c r="G118" s="149"/>
      <c r="H118" s="15"/>
      <c r="I118" s="134"/>
      <c r="J118" s="123"/>
      <c r="K118" s="123"/>
      <c r="L118" s="123"/>
    </row>
    <row r="119" spans="4:12" x14ac:dyDescent="0.3">
      <c r="F119" s="150"/>
      <c r="G119" s="149"/>
      <c r="H119" s="15"/>
      <c r="I119" s="134"/>
      <c r="J119" s="123"/>
      <c r="K119" s="123"/>
      <c r="L119" s="123"/>
    </row>
    <row r="120" spans="4:12" x14ac:dyDescent="0.3">
      <c r="F120" s="150"/>
      <c r="G120" s="149"/>
      <c r="H120" s="15"/>
      <c r="I120" s="134"/>
      <c r="J120" s="123"/>
      <c r="K120" s="123"/>
      <c r="L120" s="123"/>
    </row>
    <row r="121" spans="4:12" x14ac:dyDescent="0.3">
      <c r="G121" s="149"/>
      <c r="H121" s="15"/>
      <c r="I121" s="134"/>
      <c r="J121" s="123"/>
      <c r="K121" s="123"/>
      <c r="L121" s="123"/>
    </row>
    <row r="122" spans="4:12" x14ac:dyDescent="0.3">
      <c r="G122" s="149"/>
      <c r="H122" s="15"/>
    </row>
    <row r="123" spans="4:12" x14ac:dyDescent="0.3">
      <c r="G123" s="151"/>
      <c r="H123" s="15"/>
    </row>
    <row r="124" spans="4:12" x14ac:dyDescent="0.3">
      <c r="D124" s="152"/>
      <c r="H124" s="15"/>
    </row>
    <row r="125" spans="4:12" x14ac:dyDescent="0.3">
      <c r="G125" s="152"/>
      <c r="H125" s="15"/>
    </row>
    <row r="126" spans="4:12" x14ac:dyDescent="0.3">
      <c r="H126" s="15"/>
    </row>
    <row r="127" spans="4:12" x14ac:dyDescent="0.3">
      <c r="G127" s="153"/>
      <c r="H127" s="15"/>
    </row>
    <row r="128" spans="4:12" x14ac:dyDescent="0.3">
      <c r="G128" s="154"/>
      <c r="H128" s="15"/>
    </row>
    <row r="129" spans="7:8" x14ac:dyDescent="0.3">
      <c r="H129" s="15"/>
    </row>
    <row r="130" spans="7:8" x14ac:dyDescent="0.3">
      <c r="G130" s="151"/>
      <c r="H130" s="15"/>
    </row>
    <row r="132" spans="7:8" x14ac:dyDescent="0.3">
      <c r="G132" s="155"/>
    </row>
  </sheetData>
  <sheetProtection formatCells="0"/>
  <autoFilter ref="H1:H130" xr:uid="{00000000-0009-0000-0000-000000000000}"/>
  <mergeCells count="37">
    <mergeCell ref="A2:C2"/>
    <mergeCell ref="A31:C31"/>
    <mergeCell ref="A48:C48"/>
    <mergeCell ref="A49:C49"/>
    <mergeCell ref="A50:C50"/>
    <mergeCell ref="A34:C34"/>
    <mergeCell ref="A35:C35"/>
    <mergeCell ref="A36:C36"/>
    <mergeCell ref="A37:C37"/>
    <mergeCell ref="A38:C38"/>
    <mergeCell ref="A39:C39"/>
    <mergeCell ref="A40:C40"/>
    <mergeCell ref="A41:C41"/>
    <mergeCell ref="A45:C45"/>
    <mergeCell ref="A46:C46"/>
    <mergeCell ref="A47:C47"/>
    <mergeCell ref="A87:C87"/>
    <mergeCell ref="B81:B82"/>
    <mergeCell ref="A61:C61"/>
    <mergeCell ref="D34:G34"/>
    <mergeCell ref="A63:C63"/>
    <mergeCell ref="A51:C51"/>
    <mergeCell ref="A52:C52"/>
    <mergeCell ref="A53:C53"/>
    <mergeCell ref="A55:C55"/>
    <mergeCell ref="A57:C57"/>
    <mergeCell ref="A58:C58"/>
    <mergeCell ref="A59:C59"/>
    <mergeCell ref="A43:C43"/>
    <mergeCell ref="A56:C56"/>
    <mergeCell ref="A60:C60"/>
    <mergeCell ref="A44:C44"/>
    <mergeCell ref="A68:C68"/>
    <mergeCell ref="A77:C77"/>
    <mergeCell ref="B78:B80"/>
    <mergeCell ref="A42:C42"/>
    <mergeCell ref="A54:C54"/>
  </mergeCells>
  <dataValidations xWindow="346" yWindow="542" count="16">
    <dataValidation allowBlank="1" showInputMessage="1" showErrorMessage="1" prompt="wpisz wartość rabatu" sqref="C85" xr:uid="{00000000-0002-0000-0000-000000000000}"/>
    <dataValidation allowBlank="1" showErrorMessage="1" sqref="D85" xr:uid="{00000000-0002-0000-0000-000001000000}"/>
    <dataValidation allowBlank="1" showInputMessage="1" showErrorMessage="1" prompt="wpisz liczbę stanowisk" sqref="E29 E3" xr:uid="{00000000-0002-0000-0000-000002000000}"/>
    <dataValidation allowBlank="1" showInputMessage="1" showErrorMessage="1" prompt="wpisz liczbę kierowników" sqref="E70" xr:uid="{00000000-0002-0000-0000-000003000000}"/>
    <dataValidation allowBlank="1" showInputMessage="1" showErrorMessage="1" prompt="można dokupić jeżeli na licencji jest już min. jedno stanowsiko dowolnego modułu samodzielnego min. w wersji srebrnej (patrz powyżej zaznaczone na zielono)" sqref="E7" xr:uid="{00000000-0002-0000-0000-000004000000}"/>
    <dataValidation allowBlank="1" showInputMessage="1" showErrorMessage="1" prompt="wymaga: Ewidencji Środków pieniężnych, dowolny moduł samodzielny min. w wersji srebrnej (patrz powyżej zaznaczone na zielono)" sqref="E25" xr:uid="{00000000-0002-0000-0000-000005000000}"/>
    <dataValidation allowBlank="1" showInputMessage="1" showErrorMessage="1" prompt="wymaga min. po 1 stanowisku modułów Handel_x000a_i CRM w wariancie złotym lub platynowym" sqref="E11" xr:uid="{00000000-0002-0000-0000-000006000000}"/>
    <dataValidation allowBlank="1" showInputMessage="1" showErrorMessage="1" prompt="wymaga min. 1 stanowiska modułu Handel w_x000a_wariancie złotym lub platynowym" sqref="E12" xr:uid="{00000000-0002-0000-0000-000007000000}"/>
    <dataValidation allowBlank="1" showInputMessage="1" showErrorMessage="1" prompt="na licencji musi być inny, dowolny moduł, którego działanie chcemy oprocesować" sqref="E21" xr:uid="{00000000-0002-0000-0000-000008000000}"/>
    <dataValidation allowBlank="1" showInputMessage="1" showErrorMessage="1" prompt="dowolny moduł, który chcemy &quot;poglądać&quot;" sqref="E24" xr:uid="{00000000-0002-0000-0000-000009000000}"/>
    <dataValidation allowBlank="1" showInputMessage="1" showErrorMessage="1" prompt="wymaga min. jednego modułu pozwalającego_x000a_generować dokumenty sprzedaży (generujące_x000a_należności – Faktury/Handel, Księga Podatkowa_x000a_oraz Księga Handlowa)" sqref="E8" xr:uid="{00000000-0002-0000-0000-00000A000000}"/>
    <dataValidation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sqref="D32" xr:uid="{00000000-0002-0000-0000-00000B000000}"/>
    <dataValidation allowBlank="1" showInputMessage="1" showErrorMessage="1" prompt="wymaga na licecnji min. 1 st. Produkcji w wersji złotej oraz 1 st. Handlu w wersji złotej" sqref="D28" xr:uid="{00000000-0002-0000-0000-00000D000000}"/>
    <dataValidation allowBlank="1" showInputMessage="1" showErrorMessage="1" prompt="niedostępne w wersji okienkowej" sqref="E28 C28" xr:uid="{00000000-0002-0000-0000-00000E000000}"/>
    <dataValidation type="custom"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sqref="B32" xr:uid="{00000000-0002-0000-0000-00000F000000}">
      <formula1>IF(SUM(E3:E28)=0," ",IF(AND(SUM(E3:E28)&gt;0,O30&gt;0),"złoto","platyna"))</formula1>
    </dataValidation>
    <dataValidation allowBlank="1" showInputMessage="1" showErrorMessage="1" prompt="wymaga min. po 1 stanowisku modułów Handel_x000a_i Produkcja w wariancie złotym lub platynowym " sqref="F28" xr:uid="{00000000-0002-0000-0000-000010000000}"/>
  </dataValidations>
  <hyperlinks>
    <hyperlink ref="B78" r:id="rId1" display="https://www.enova.pl/aktualnosci/pakiety-dla-nowo-powstalych-firm/" xr:uid="{00000000-0004-0000-0000-000000000000}"/>
    <hyperlink ref="B81" r:id="rId2" xr:uid="{00000000-0004-0000-0000-000001000000}"/>
    <hyperlink ref="B78:B80" r:id="rId3" display="co jest w pakiecie &gt;" xr:uid="{00000000-0004-0000-0000-000002000000}"/>
  </hyperlinks>
  <pageMargins left="0.7" right="0.7" top="0.75" bottom="0.75" header="0.3" footer="0.3"/>
  <pageSetup paperSize="9" fitToHeight="0" orientation="landscape" r:id="rId4"/>
  <ignoredErrors>
    <ignoredError sqref="H63 G23 H68 H31 G10 G5 G70" formula="1"/>
  </ignoredErrors>
  <legacyDrawing r:id="rId5"/>
  <extLst>
    <ext xmlns:x14="http://schemas.microsoft.com/office/spreadsheetml/2009/9/main" uri="{CCE6A557-97BC-4b89-ADB6-D9C93CAAB3DF}">
      <x14:dataValidations xmlns:xm="http://schemas.microsoft.com/office/excel/2006/main" xWindow="346" yWindow="542" count="33">
        <x14:dataValidation type="list" allowBlank="1" showInputMessage="1" showErrorMessage="1" prompt="wymagany Pulpit Pracownika" xr:uid="{00000000-0002-0000-0000-000011000000}">
          <x14:formula1>
            <xm:f>'Cennik enova365'!$K$13:$K$14</xm:f>
          </x14:formula1>
          <xm:sqref>B75</xm:sqref>
        </x14:dataValidation>
        <x14:dataValidation type="list" allowBlank="1" showInputMessage="1" showErrorMessage="1" prompt="dowolny moduł min. w wersji złotej_x000a_(przynajmniej jedno, dowolne stanowsiko w ramach licencji Klienta musi być złote)" xr:uid="{00000000-0002-0000-0000-000013000000}">
          <x14:formula1>
            <xm:f>'Cennik enova365'!$K$13:$K$14</xm:f>
          </x14:formula1>
          <xm:sqref>E57 E59:E60</xm:sqref>
        </x14:dataValidation>
        <x14:dataValidation type="list" allowBlank="1" showInputMessage="1" showErrorMessage="1" prompt="wymaga: Ewidencji Środków pieniężnych, dowolny moduł samodzielny min. w wersji srebrnej (patrz powyżej zaznaczone na zielono)" xr:uid="{00000000-0002-0000-0000-000014000000}">
          <x14:formula1>
            <xm:f>'Cennik enova365'!$K$13:$K$14</xm:f>
          </x14:formula1>
          <xm:sqref>E47:E48</xm:sqref>
        </x14:dataValidation>
        <x14:dataValidation type="list" allowBlank="1" showInputMessage="1" showErrorMessage="1" xr:uid="{00000000-0002-0000-0000-000015000000}">
          <x14:formula1>
            <xm:f>'Cennik enova365'!$K$17:$K$21</xm:f>
          </x14:formula1>
          <xm:sqref>E65</xm:sqref>
        </x14:dataValidation>
        <x14:dataValidation type="list" allowBlank="1" showInputMessage="1" showErrorMessage="1" xr:uid="{00000000-0002-0000-0000-000016000000}">
          <x14:formula1>
            <xm:f>'Cennik enova365'!$K$13:$K$14</xm:f>
          </x14:formula1>
          <xm:sqref>E85 B65:B66</xm:sqref>
        </x14:dataValidation>
        <x14:dataValidation type="list" allowBlank="1" showInputMessage="1" showErrorMessage="1" xr:uid="{00000000-0002-0000-0000-000017000000}">
          <x14:formula1>
            <xm:f>'Cennik enova365'!$K$2:$K$4</xm:f>
          </x14:formula1>
          <xm:sqref>B24 B16 B9:B10 B6:B7 B13:B14</xm:sqref>
        </x14:dataValidation>
        <x14:dataValidation type="list" allowBlank="1" showInputMessage="1" showErrorMessage="1" xr:uid="{00000000-0002-0000-0000-000018000000}">
          <x14:formula1>
            <xm:f>'Cennik enova365'!$L$2:$L$3</xm:f>
          </x14:formula1>
          <xm:sqref>B4</xm:sqref>
        </x14:dataValidation>
        <x14:dataValidation type="list" allowBlank="1" showInputMessage="1" showErrorMessage="1" xr:uid="{00000000-0002-0000-0000-000019000000}">
          <x14:formula1>
            <xm:f>'Cennik enova365'!$K$3:$K$4</xm:f>
          </x14:formula1>
          <xm:sqref>B5 B11:B12 B8 B25:B29 B15 B17:B22</xm:sqref>
        </x14:dataValidation>
        <x14:dataValidation type="list" allowBlank="1" showInputMessage="1" showErrorMessage="1" prompt="wybierz przedział" xr:uid="{00000000-0002-0000-0000-00001A000000}">
          <x14:formula1>
            <xm:f>'Cennik enova365'!$A$89:$A$94</xm:f>
          </x14:formula1>
          <xm:sqref>E69</xm:sqref>
        </x14:dataValidation>
        <x14:dataValidation type="list" allowBlank="1" showInputMessage="1" showErrorMessage="1" prompt="wymaga min. 1 stanowiska modułu Kadry Płace w wariacie złotym lub platynowym" xr:uid="{00000000-0002-0000-0000-00001B000000}">
          <x14:formula1>
            <xm:f>'Cennik enova365'!$K$13:$K$14</xm:f>
          </x14:formula1>
          <xm:sqref>B69 E35:E40 E42:E44</xm:sqref>
        </x14:dataValidation>
        <x14:dataValidation type="list" allowBlank="1" showInputMessage="1" showErrorMessage="1" prompt="wymaga min. 1 stanowiska modułu Handel w wariacie złotym lub platynowym lub CRM w wariacie złotym lub platynowym" xr:uid="{00000000-0002-0000-0000-00001C000000}">
          <x14:formula1>
            <xm:f>'Cennik enova365'!$K$13:$K$14</xm:f>
          </x14:formula1>
          <xm:sqref>B71</xm:sqref>
        </x14:dataValidation>
        <x14:dataValidation type="list" allowBlank="1" showInputMessage="1" showErrorMessage="1" prompt="wymaga min. 1 stanowiska modułu Workflow w wariacie platynowym oraz innego Pulpitu" xr:uid="{00000000-0002-0000-0000-00001D000000}">
          <x14:formula1>
            <xm:f>'Cennik enova365'!$K$13:$K$14</xm:f>
          </x14:formula1>
          <xm:sqref>B72</xm:sqref>
        </x14:dataValidation>
        <x14:dataValidation type="list" allowBlank="1" showInputMessage="1" showErrorMessage="1" prompt="wymaga min. po 1 stanowisku modułów Kadry Płace w wariacie złotym lub platynowym oraz Handel w wariacie złotym lub platynowym" xr:uid="{00000000-0002-0000-0000-00001E000000}">
          <x14:formula1>
            <xm:f>'Cennik enova365'!$K$13:$K$14</xm:f>
          </x14:formula1>
          <xm:sqref>E41</xm:sqref>
        </x14:dataValidation>
        <x14:dataValidation type="list" allowBlank="1" showInputMessage="1" showErrorMessage="1" prompt="wymaga:_x000a_Faktury min. srebrne_x000a_lub Handel min. srebrny_x000a_" xr:uid="{00000000-0002-0000-0000-000021000000}">
          <x14:formula1>
            <xm:f>'Cennik enova365'!$K$13:$K$14</xm:f>
          </x14:formula1>
          <xm:sqref>E51</xm:sqref>
        </x14:dataValidation>
        <x14:dataValidation type="list" allowBlank="1" showInputMessage="1" showErrorMessage="1" prompt="dowolny moduł min. w wersji srebrnej" xr:uid="{00000000-0002-0000-0000-000022000000}">
          <x14:formula1>
            <xm:f>'Cennik enova365'!$K$13:$K$14</xm:f>
          </x14:formula1>
          <xm:sqref>E52</xm:sqref>
        </x14:dataValidation>
        <x14:dataValidation type="list" allowBlank="1" showInputMessage="1" showErrorMessage="1" prompt="wymaga:_x000a_Faktury min. srebrne_x000a_lub Handel min. srebrny" xr:uid="{00000000-0002-0000-0000-000023000000}">
          <x14:formula1>
            <xm:f>'Cennik enova365'!$K$13:$K$14</xm:f>
          </x14:formula1>
          <xm:sqref>E53:E54</xm:sqref>
        </x14:dataValidation>
        <x14:dataValidation type="list" allowBlank="1" showInputMessage="1" showErrorMessage="1" prompt="wymaga:_x000a_CRM min. złoty_x000a_lub Projekty min. złote" xr:uid="{00000000-0002-0000-0000-000024000000}">
          <x14:formula1>
            <xm:f>'Cennik enova365'!$K$13:$K$14</xm:f>
          </x14:formula1>
          <xm:sqref>E58</xm:sqref>
        </x14:dataValidation>
        <x14:dataValidation type="list" allowBlank="1" showInputMessage="1" showErrorMessage="1" prompt="dowolny moduł min. w wersji złotej_x000a_(przynajmniej jedno, dowolne stanowsiko w ramach licencji Klienta musi być multi)" xr:uid="{00000000-0002-0000-0000-000025000000}">
          <x14:formula1>
            <xm:f>'Cennik enova365'!$K$13:$K$14</xm:f>
          </x14:formula1>
          <xm:sqref>E55</xm:sqref>
        </x14:dataValidation>
        <x14:dataValidation type="list" allowBlank="1" showInputMessage="1" showErrorMessage="1" prompt="wybierz przedział" xr:uid="{00000000-0002-0000-0000-000026000000}">
          <x14:formula1>
            <xm:f>'Cennik enova365'!$A$107:$A$112</xm:f>
          </x14:formula1>
          <xm:sqref>E72:E74</xm:sqref>
        </x14:dataValidation>
        <x14:dataValidation type="list" allowBlank="1" showInputMessage="1" showErrorMessage="1" prompt="wybierz przedział" xr:uid="{00000000-0002-0000-0000-000027000000}">
          <x14:formula1>
            <xm:f>'Cennik enova365'!$A$99:$A$104</xm:f>
          </x14:formula1>
          <xm:sqref>E71</xm:sqref>
        </x14:dataValidation>
        <x14:dataValidation type="list" allowBlank="1" showInputMessage="1" showErrorMessage="1" prompt="wymaga:_x000a_Handel min. złoty" xr:uid="{00000000-0002-0000-0000-000028000000}">
          <x14:formula1>
            <xm:f>'Cennik enova365'!$K$13:$K$14</xm:f>
          </x14:formula1>
          <xm:sqref>E56</xm:sqref>
        </x14:dataValidation>
        <x14:dataValidation type="list"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xr:uid="{00000000-0002-0000-0000-000029000000}">
          <x14:formula1>
            <xm:f>'Cennik enova365'!$K$13:$K$14</xm:f>
          </x14:formula1>
          <xm:sqref>E32</xm:sqref>
        </x14:dataValidation>
        <x14:dataValidation type="list" allowBlank="1" showInputMessage="1" showErrorMessage="1" prompt="pakietów nie można łączyć, klient może kupić tylko jeden pakiet" xr:uid="{00000000-0002-0000-0000-00002A000000}">
          <x14:formula1>
            <xm:f>'Cennik enova365'!$K$13:$K$14</xm:f>
          </x14:formula1>
          <xm:sqref>E78:E82</xm:sqref>
        </x14:dataValidation>
        <x14:dataValidation type="list" allowBlank="1" showInputMessage="1" showErrorMessage="1" prompt="wymaga modułu BI oraz innego Pulpitu" xr:uid="{00000000-0002-0000-0000-00002B000000}">
          <x14:formula1>
            <xm:f>'Cennik enova365'!$K$13:$K$14</xm:f>
          </x14:formula1>
          <xm:sqref>B73</xm:sqref>
        </x14:dataValidation>
        <x14:dataValidation type="list" allowBlank="1" showInputMessage="1" showErrorMessage="1" prompt="wymaga min. po 1 stanowisku modułów Praca Hybrydowa w wariacie złotym lub platynowym, Kadry Płace w wariacie złotym lub platynowym oraz Pulpitu Pracownika" xr:uid="{00000000-0002-0000-0000-00002C000000}">
          <x14:formula1>
            <xm:f>'Cennik enova365'!$K$13:$K$14</xm:f>
          </x14:formula1>
          <xm:sqref>B74</xm:sqref>
        </x14:dataValidation>
        <x14:dataValidation type="list" allowBlank="1" showInputMessage="1" showErrorMessage="1" xr:uid="{00000000-0002-0000-0000-00002D000000}">
          <x14:formula1>
            <xm:f>'Cennik enova365'!$K$26:$K$36</xm:f>
          </x14:formula1>
          <xm:sqref>E66</xm:sqref>
        </x14:dataValidation>
        <x14:dataValidation type="list" allowBlank="1" showInputMessage="1" showErrorMessage="1" prompt="abonament roczny, wybierz przedział" xr:uid="{00000000-0002-0000-0000-00002E000000}">
          <x14:formula1>
            <xm:f>'Cennik enova365'!$K$13:$K$14</xm:f>
          </x14:formula1>
          <xm:sqref>B88</xm:sqref>
        </x14:dataValidation>
        <x14:dataValidation type="list" allowBlank="1" showInputMessage="1" showErrorMessage="1" prompt="wymaga min. 1 stanowiska modułu Księga Handlowa w wariancie złotym lub platynowym" xr:uid="{B09FC837-D769-4157-BB9E-A9DB46FC0287}">
          <x14:formula1>
            <xm:f>'Cennik enova365'!$K$13:$K$14</xm:f>
          </x14:formula1>
          <xm:sqref>E45:E46</xm:sqref>
        </x14:dataValidation>
        <x14:dataValidation type="list" allowBlank="1" showInputMessage="1" showErrorMessage="1" prompt="wymaga min. 1 stanowiska modułu Księga Handlowa w wariancie min. złotym lub Księga Podatkowa_x000a_" xr:uid="{DD559B9A-6426-4CB4-B92B-DA80782AE55A}">
          <x14:formula1>
            <xm:f>'Cennik enova365'!$K$13:$K$14</xm:f>
          </x14:formula1>
          <xm:sqref>E49:E50</xm:sqref>
        </x14:dataValidation>
        <x14:dataValidation type="list" allowBlank="1" showInputMessage="1" showErrorMessage="1" prompt="wybierz wersję" xr:uid="{461ABE3A-D42D-40CB-B750-D72243C85478}">
          <x14:formula1>
            <xm:f>'Cennik enova365'!$K$2:$K$4</xm:f>
          </x14:formula1>
          <xm:sqref>B3</xm:sqref>
        </x14:dataValidation>
        <x14:dataValidation type="list" allowBlank="1" showInputMessage="1" showErrorMessage="1" prompt="wymaga Pulpitu Pracownika oraz min. 1 stanowiska modułu Kadry Płace w wariacie złotym lub platynowym" xr:uid="{B0168FCE-AC40-4018-A092-938F4F6204B9}">
          <x14:formula1>
            <xm:f>'Cennik enova365'!$K$13:$K$14</xm:f>
          </x14:formula1>
          <xm:sqref>B70</xm:sqref>
        </x14:dataValidation>
        <x14:dataValidation type="list" allowBlank="1" showInputMessage="1" showErrorMessage="1" prompt="wymaga min. 1 stanowisko modułu Handel oraz dodatku Integrator_x000a_Dodatek płatny dla wszystkich wersji kolorystycznych enova365." xr:uid="{AD189C5E-49C5-4CEA-9ADA-940F703706A4}">
          <x14:formula1>
            <xm:f>'Cennik enova365'!$K$13:$K$14</xm:f>
          </x14:formula1>
          <xm:sqref>E61</xm:sqref>
        </x14:dataValidation>
        <x14:dataValidation type="list" allowBlank="1" showInputMessage="1" showErrorMessage="1" prompt="abonament roczny, wybierz przedział" xr:uid="{00000000-0002-0000-0000-00002F000000}">
          <x14:formula1>
            <xm:f>'Cennik enova365'!$A$161:$A$173</xm:f>
          </x14:formula1>
          <xm:sqref>E88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8"/>
  <sheetViews>
    <sheetView zoomScale="80" zoomScaleNormal="80" workbookViewId="0">
      <selection activeCell="J7" sqref="J7"/>
    </sheetView>
  </sheetViews>
  <sheetFormatPr defaultColWidth="9.109375" defaultRowHeight="14.4" x14ac:dyDescent="0.3"/>
  <cols>
    <col min="1" max="1" width="48.88671875" customWidth="1"/>
    <col min="2" max="2" width="22.6640625" customWidth="1"/>
    <col min="3" max="3" width="26.33203125" customWidth="1"/>
    <col min="4" max="4" width="24.109375" customWidth="1"/>
    <col min="5" max="5" width="19.88671875" customWidth="1"/>
    <col min="6" max="6" width="11.109375" customWidth="1"/>
    <col min="7" max="7" width="20" customWidth="1"/>
    <col min="8" max="8" width="11.44140625" customWidth="1"/>
    <col min="9" max="9" width="9.109375" customWidth="1"/>
    <col min="10" max="10" width="48" customWidth="1"/>
    <col min="11" max="11" width="12.6640625" customWidth="1"/>
    <col min="12" max="12" width="9.109375" hidden="1" customWidth="1"/>
    <col min="13" max="14" width="2" hidden="1" customWidth="1"/>
    <col min="15" max="15" width="9.109375" hidden="1" customWidth="1"/>
    <col min="16" max="16" width="9.109375" customWidth="1"/>
  </cols>
  <sheetData>
    <row r="1" spans="1:13" ht="78" x14ac:dyDescent="0.3">
      <c r="A1" s="6" t="s">
        <v>11</v>
      </c>
      <c r="B1" s="7" t="s">
        <v>57</v>
      </c>
      <c r="C1" s="8" t="s">
        <v>84</v>
      </c>
      <c r="D1" s="8" t="s">
        <v>85</v>
      </c>
      <c r="E1" s="9" t="s">
        <v>153</v>
      </c>
      <c r="F1" s="198" t="s">
        <v>86</v>
      </c>
      <c r="G1" s="10" t="s">
        <v>13</v>
      </c>
      <c r="H1" s="104" t="s">
        <v>25</v>
      </c>
      <c r="J1" s="202" t="s">
        <v>155</v>
      </c>
    </row>
    <row r="2" spans="1:13" ht="15.6" x14ac:dyDescent="0.3">
      <c r="A2" s="270" t="s">
        <v>158</v>
      </c>
      <c r="B2" s="271"/>
      <c r="C2" s="272"/>
      <c r="D2" s="63"/>
      <c r="E2" s="63"/>
      <c r="F2" s="63"/>
      <c r="G2" s="64"/>
      <c r="H2" s="15">
        <f>IF(G21&gt;0,1,0)</f>
        <v>0</v>
      </c>
    </row>
    <row r="3" spans="1:13" ht="15.6" x14ac:dyDescent="0.3">
      <c r="A3" s="200" t="s">
        <v>130</v>
      </c>
      <c r="B3" s="18" t="s">
        <v>3</v>
      </c>
      <c r="C3" s="17">
        <f>IF($B3="srebro",VLOOKUP($A3,moduly_podstawowe_BR[],2,FALSE),IF($B3="złoto",VLOOKUP($A3,moduly_podstawowe_BR[],4,FALSE),IF($B3= "platyna",VLOOKUP($A3,moduly_podstawowe_BR[],6,FALSE))))</f>
        <v>5940</v>
      </c>
      <c r="D3" s="17">
        <f>IF($B3="srebro",VLOOKUP($A3,moduly_podstawowe_BR[],3,FALSE),IF($B3="złoto",VLOOKUP($A3,moduly_podstawowe_BR[],5,FALSE),IF($B3= "platyna",VLOOKUP($A3,moduly_podstawowe_BR[],7,FALSE))))</f>
        <v>6660</v>
      </c>
      <c r="E3" s="18">
        <v>0</v>
      </c>
      <c r="F3" s="18">
        <v>0</v>
      </c>
      <c r="G3" s="19">
        <f t="shared" ref="G3:G15" si="0">IF(F3=0,C3*E3,IF(OR(AND(E3=0,F3&lt;&gt;0),F3&gt;E3),"błąd",((E3-F3)*C3)+(D3*F3)))</f>
        <v>0</v>
      </c>
      <c r="H3" s="15">
        <f>IF(G3&gt;0,1,0)</f>
        <v>0</v>
      </c>
      <c r="M3">
        <f>IF(AND(OR(B3="złoto",B3="srebro"),E3&gt;0),1,0)</f>
        <v>0</v>
      </c>
    </row>
    <row r="4" spans="1:13" ht="15.6" customHeight="1" x14ac:dyDescent="0.3">
      <c r="A4" s="200" t="s">
        <v>131</v>
      </c>
      <c r="B4" s="18" t="s">
        <v>1</v>
      </c>
      <c r="C4" s="17">
        <f>IF($B4="srebro",VLOOKUP($A4,moduly_podstawowe_BR[],2,FALSE),IF($B4="złoto",VLOOKUP($A4,moduly_podstawowe_BR[],4,FALSE),IF($B4= "platyna",VLOOKUP($A4,moduly_podstawowe_BR[],6,FALSE))))</f>
        <v>855</v>
      </c>
      <c r="D4" s="17">
        <f>IF($B4="srebro",VLOOKUP($A4,moduly_podstawowe_BR[],3,FALSE),IF($B4="złoto",VLOOKUP($A4,moduly_podstawowe_BR[],5,FALSE),IF($B4= "platyna",VLOOKUP($A4,moduly_podstawowe_BR[],7,FALSE))))</f>
        <v>1060</v>
      </c>
      <c r="E4" s="18">
        <v>0</v>
      </c>
      <c r="F4" s="18">
        <v>0</v>
      </c>
      <c r="G4" s="19">
        <f t="shared" si="0"/>
        <v>0</v>
      </c>
      <c r="H4" s="15">
        <f t="shared" ref="H4:H85" si="1">IF(G4&gt;0,1,0)</f>
        <v>0</v>
      </c>
      <c r="J4" s="202"/>
      <c r="K4" s="202"/>
      <c r="L4" s="202"/>
      <c r="M4">
        <f t="shared" ref="M4:M20" si="2">IF(AND(OR(B4="złoto",B4="srebro"),E4&gt;0),1,0)</f>
        <v>0</v>
      </c>
    </row>
    <row r="5" spans="1:13" ht="15.6" x14ac:dyDescent="0.3">
      <c r="A5" s="200" t="s">
        <v>132</v>
      </c>
      <c r="B5" s="18" t="s">
        <v>3</v>
      </c>
      <c r="C5" s="17">
        <f>IF($B5="srebro",VLOOKUP($A5,moduly_podstawowe_BR[],2,FALSE),IF($B5="złoto",VLOOKUP($A5,moduly_podstawowe_BR[],4,FALSE),IF($B5= "platyna",VLOOKUP($A5,moduly_podstawowe_BR[],6,FALSE))))</f>
        <v>4530</v>
      </c>
      <c r="D5" s="17">
        <f>IF($B5="srebro",VLOOKUP($A5,moduly_podstawowe_BR[],3,FALSE),IF($B5="złoto",VLOOKUP($A5,moduly_podstawowe_BR[],5,FALSE),IF($B5= "platyna",VLOOKUP($A5,moduly_podstawowe_BR[],7,FALSE))))</f>
        <v>5010</v>
      </c>
      <c r="E5" s="18">
        <v>0</v>
      </c>
      <c r="F5" s="18">
        <v>0</v>
      </c>
      <c r="G5" s="19">
        <f t="shared" si="0"/>
        <v>0</v>
      </c>
      <c r="H5" s="15">
        <f t="shared" si="1"/>
        <v>0</v>
      </c>
      <c r="J5" s="202"/>
      <c r="K5" s="202"/>
      <c r="L5" s="202"/>
      <c r="M5">
        <f t="shared" si="2"/>
        <v>0</v>
      </c>
    </row>
    <row r="6" spans="1:13" ht="15.6" x14ac:dyDescent="0.3">
      <c r="A6" s="200" t="s">
        <v>133</v>
      </c>
      <c r="B6" s="18" t="s">
        <v>3</v>
      </c>
      <c r="C6" s="17">
        <f>IF($B6="srebro",VLOOKUP($A6,moduly_podstawowe_BR[],2,FALSE),IF($B6="złoto",VLOOKUP($A6,moduly_podstawowe_BR[],4,FALSE),IF($B6= "platyna",VLOOKUP($A6,moduly_podstawowe_BR[],6,FALSE))))</f>
        <v>1780</v>
      </c>
      <c r="D6" s="17">
        <f>IF($B6="srebro",VLOOKUP($A6,moduly_podstawowe_BR[],3,FALSE),IF($B6="złoto",VLOOKUP($A6,moduly_podstawowe_BR[],5,FALSE),IF($B6= "platyna",VLOOKUP($A6,moduly_podstawowe_BR[],7,FALSE))))</f>
        <v>1970</v>
      </c>
      <c r="E6" s="18">
        <v>0</v>
      </c>
      <c r="F6" s="18">
        <v>0</v>
      </c>
      <c r="G6" s="19">
        <f t="shared" si="0"/>
        <v>0</v>
      </c>
      <c r="H6" s="15">
        <f t="shared" si="1"/>
        <v>0</v>
      </c>
      <c r="J6" s="207" t="str">
        <f>IF(B6="platyna"," ",IF(AND(E4+F4&gt;0,E5+F5&gt;0,B6&lt;&gt;B5),"w tej konfiguracji Ks. Inwentarzowa musi mieć taki sam kolor jak Ks. Handlowa",IF(E6+F6=0," ",IF(AND(E5+F5&gt;0,B6&lt;&gt;B5),"Ks. Inwentarzowa musi mieć taki sam kolor jak Ks. Handlowa",IF(AND(E4+F4&gt;0,E5+F5=0,B4&lt;&gt;B6),"Ks. Inwentarzowa musi mieć taki sam kolor jak Ks. Podatkowa"," ")))))</f>
        <v xml:space="preserve"> </v>
      </c>
      <c r="K6" s="202"/>
      <c r="L6" s="202"/>
      <c r="M6">
        <f t="shared" si="2"/>
        <v>0</v>
      </c>
    </row>
    <row r="7" spans="1:13" ht="31.2" x14ac:dyDescent="0.3">
      <c r="A7" s="156" t="s">
        <v>231</v>
      </c>
      <c r="B7" s="18" t="s">
        <v>3</v>
      </c>
      <c r="C7" s="17">
        <f>IF($B7="srebro",VLOOKUP($A7,moduly_podstawowe_BR[],2,FALSE),IF($B7="złoto",VLOOKUP($A7,moduly_podstawowe_BR[],4,FALSE),IF($B7= "platyna",VLOOKUP($A7,moduly_podstawowe_BR[],6,FALSE))))</f>
        <v>715</v>
      </c>
      <c r="D7" s="17">
        <f>IF($B7="srebro",VLOOKUP($A7,moduly_podstawowe_BR[],3,FALSE),IF($B7="złoto",VLOOKUP($A7,moduly_podstawowe_BR[],5,FALSE),IF($B7= "platyna",VLOOKUP($A7,moduly_podstawowe_BR[],7,FALSE))))</f>
        <v>795</v>
      </c>
      <c r="E7" s="18">
        <v>0</v>
      </c>
      <c r="F7" s="18">
        <v>0</v>
      </c>
      <c r="G7" s="19">
        <f t="shared" si="0"/>
        <v>0</v>
      </c>
      <c r="H7" s="15">
        <f t="shared" si="1"/>
        <v>0</v>
      </c>
      <c r="J7" s="202"/>
      <c r="K7" s="202"/>
      <c r="L7" s="202"/>
      <c r="M7">
        <f t="shared" si="2"/>
        <v>0</v>
      </c>
    </row>
    <row r="8" spans="1:13" ht="15.6" x14ac:dyDescent="0.3">
      <c r="A8" s="156" t="s">
        <v>96</v>
      </c>
      <c r="B8" s="18" t="s">
        <v>3</v>
      </c>
      <c r="C8" s="17">
        <f>IF($B8="srebro",VLOOKUP($A8,moduly_podstawowe_BR[],2,FALSE),IF($B8="złoto",VLOOKUP($A8,moduly_podstawowe_BR[],4,FALSE),IF($B8= "platyna",VLOOKUP($A8,moduly_podstawowe_BR[],6,FALSE))))</f>
        <v>1620</v>
      </c>
      <c r="D8" s="17">
        <f>IF($B8="srebro",VLOOKUP($A8,moduly_podstawowe_BR[],3,FALSE),IF($B8="złoto",VLOOKUP($A8,moduly_podstawowe_BR[],5,FALSE),IF($B8= "platyna",VLOOKUP($A8,moduly_podstawowe_BR[],7,FALSE))))</f>
        <v>1790</v>
      </c>
      <c r="E8" s="18">
        <v>0</v>
      </c>
      <c r="F8" s="18">
        <v>0</v>
      </c>
      <c r="G8" s="19">
        <f t="shared" si="0"/>
        <v>0</v>
      </c>
      <c r="H8" s="15">
        <f t="shared" si="1"/>
        <v>0</v>
      </c>
      <c r="J8" s="202"/>
      <c r="K8" s="202"/>
      <c r="L8" s="202"/>
      <c r="M8">
        <f t="shared" si="2"/>
        <v>0</v>
      </c>
    </row>
    <row r="9" spans="1:13" ht="15.6" x14ac:dyDescent="0.3">
      <c r="A9" s="200" t="s">
        <v>107</v>
      </c>
      <c r="B9" s="18" t="s">
        <v>3</v>
      </c>
      <c r="C9" s="17">
        <f>IF($B9="srebro",VLOOKUP($A9,moduly_podstawowe_BR[],2,FALSE),IF($B9="złoto",VLOOKUP($A9,moduly_podstawowe_BR[],4,FALSE),IF($B9= "platyna",VLOOKUP($A9,moduly_podstawowe_BR[],6,FALSE))))</f>
        <v>885</v>
      </c>
      <c r="D9" s="17">
        <f>IF($B9="srebro",VLOOKUP($A9,moduly_podstawowe_BR[],3,FALSE),IF($B9="złoto",VLOOKUP($A9,moduly_podstawowe_BR[],5,FALSE),IF($B9= "platyna",VLOOKUP($A9,moduly_podstawowe_BR[],7,FALSE))))</f>
        <v>975</v>
      </c>
      <c r="E9" s="18">
        <v>0</v>
      </c>
      <c r="F9" s="18">
        <v>0</v>
      </c>
      <c r="G9" s="19">
        <f t="shared" si="0"/>
        <v>0</v>
      </c>
      <c r="H9" s="15">
        <f t="shared" si="1"/>
        <v>0</v>
      </c>
      <c r="M9">
        <f t="shared" si="2"/>
        <v>0</v>
      </c>
    </row>
    <row r="10" spans="1:13" ht="15.6" x14ac:dyDescent="0.3">
      <c r="A10" s="200" t="s">
        <v>177</v>
      </c>
      <c r="B10" s="18" t="s">
        <v>5</v>
      </c>
      <c r="C10" s="17">
        <f>IF($B10="srebro",VLOOKUP($A10,moduly_podstawowe_BR[],2,FALSE),IF($B10="złoto",VLOOKUP($A10,moduly_podstawowe_BR[],4,FALSE),IF($B10= "platyna",VLOOKUP($A10,moduly_podstawowe_BR[],6,FALSE))))</f>
        <v>4510</v>
      </c>
      <c r="D10" s="17">
        <f>IF($B10="srebro",VLOOKUP($A10,moduly_podstawowe_BR[],3,FALSE),IF($B10="złoto",VLOOKUP($A10,moduly_podstawowe_BR[],5,FALSE),IF($B10= "platyna",VLOOKUP($A10,moduly_podstawowe_BR[],7,FALSE))))</f>
        <v>4730</v>
      </c>
      <c r="E10" s="18">
        <v>0</v>
      </c>
      <c r="F10" s="18">
        <v>0</v>
      </c>
      <c r="G10" s="19">
        <f t="shared" si="0"/>
        <v>0</v>
      </c>
      <c r="H10" s="15">
        <f t="shared" si="1"/>
        <v>0</v>
      </c>
      <c r="J10" s="246" t="str">
        <f>IF(B10="srebro"," ", IF(E10+F10&gt;0,"zawiera pełną funcjonalność e-mail"," "))</f>
        <v xml:space="preserve"> </v>
      </c>
      <c r="M10">
        <f t="shared" si="2"/>
        <v>0</v>
      </c>
    </row>
    <row r="11" spans="1:13" ht="15.6" x14ac:dyDescent="0.3">
      <c r="A11" s="200" t="s">
        <v>178</v>
      </c>
      <c r="B11" s="18" t="s">
        <v>3</v>
      </c>
      <c r="C11" s="17">
        <f>IF($B11="srebro",VLOOKUP($A11,moduly_podstawowe_BR[],2,FALSE),IF($B11="złoto",VLOOKUP($A11,moduly_podstawowe_BR[],4,FALSE),IF($B11= "platyna",VLOOKUP($A11,moduly_podstawowe_BR[],6,FALSE))))</f>
        <v>3090</v>
      </c>
      <c r="D11" s="17">
        <f>IF($B11="srebro",VLOOKUP($A11,moduly_podstawowe_BR[],3,FALSE),IF($B11="złoto",VLOOKUP($A11,moduly_podstawowe_BR[],5,FALSE),IF($B11= "platyna",VLOOKUP($A11,moduly_podstawowe_BR[],7,FALSE))))</f>
        <v>3400</v>
      </c>
      <c r="E11" s="18">
        <v>0</v>
      </c>
      <c r="F11" s="18">
        <v>0</v>
      </c>
      <c r="G11" s="19">
        <f t="shared" si="0"/>
        <v>0</v>
      </c>
      <c r="H11" s="15">
        <f t="shared" si="1"/>
        <v>0</v>
      </c>
      <c r="J11" s="256" t="str">
        <f>IF(E11+F11&gt;0,"zawiera pełną funcjonalność CRM oraz e-mail"," ")</f>
        <v xml:space="preserve"> </v>
      </c>
      <c r="M11">
        <f t="shared" si="2"/>
        <v>0</v>
      </c>
    </row>
    <row r="12" spans="1:13" ht="15.6" x14ac:dyDescent="0.3">
      <c r="A12" s="200" t="s">
        <v>230</v>
      </c>
      <c r="B12" s="18" t="s">
        <v>3</v>
      </c>
      <c r="C12" s="17">
        <f>IF($B12="srebro",VLOOKUP($A12,moduly_podstawowe_BR[],2,FALSE),IF($B12="złoto",VLOOKUP($A12,moduly_podstawowe_BR[],4,FALSE),IF($B12= "platyna",VLOOKUP($A12,moduly_podstawowe_BR[],6,FALSE))))</f>
        <v>5400</v>
      </c>
      <c r="D12" s="17">
        <f>IF($B12="srebro",VLOOKUP($A12,moduly_podstawowe_BR[],3,FALSE),IF($B12="złoto",VLOOKUP($A12,moduly_podstawowe_BR[],5,FALSE),IF($B12= "platyna",VLOOKUP($A12,moduly_podstawowe_BR[],7,FALSE))))</f>
        <v>6750</v>
      </c>
      <c r="E12" s="18">
        <v>0</v>
      </c>
      <c r="F12" s="18">
        <v>0</v>
      </c>
      <c r="G12" s="19">
        <f t="shared" si="0"/>
        <v>0</v>
      </c>
      <c r="H12" s="15">
        <f t="shared" si="1"/>
        <v>0</v>
      </c>
      <c r="M12">
        <f t="shared" si="2"/>
        <v>0</v>
      </c>
    </row>
    <row r="13" spans="1:13" ht="15.6" x14ac:dyDescent="0.3">
      <c r="A13" s="200" t="s">
        <v>236</v>
      </c>
      <c r="B13" s="18" t="s">
        <v>3</v>
      </c>
      <c r="C13" s="17">
        <f>IF($B13="srebro",VLOOKUP($A13,moduly_podstawowe_BR[],2,FALSE),IF($B13="złoto",VLOOKUP($A13,moduly_podstawowe_BR[],4,FALSE),IF($B13= "platyna",VLOOKUP($A13,moduly_podstawowe_BR[],6,FALSE))))</f>
        <v>2160</v>
      </c>
      <c r="D13" s="17">
        <f>IF($B13="srebro",VLOOKUP($A13,moduly_podstawowe_BR[],3,FALSE),IF($B13="złoto",VLOOKUP($A13,moduly_podstawowe_BR[],5,FALSE),IF($B13= "platyna",VLOOKUP($A13,moduly_podstawowe_BR[],7,FALSE))))</f>
        <v>2700</v>
      </c>
      <c r="E13" s="18">
        <v>0</v>
      </c>
      <c r="F13" s="18">
        <v>0</v>
      </c>
      <c r="G13" s="19">
        <f t="shared" si="0"/>
        <v>0</v>
      </c>
      <c r="H13" s="15">
        <f t="shared" si="1"/>
        <v>0</v>
      </c>
      <c r="M13">
        <f t="shared" si="2"/>
        <v>0</v>
      </c>
    </row>
    <row r="14" spans="1:13" ht="15.6" x14ac:dyDescent="0.3">
      <c r="A14" s="37" t="s">
        <v>134</v>
      </c>
      <c r="B14" s="18" t="s">
        <v>3</v>
      </c>
      <c r="C14" s="17">
        <f>IF($B14="srebro",VLOOKUP($A14,moduly_podstawowe_BR[],2,FALSE),IF($B14="złoto",VLOOKUP($A14,moduly_podstawowe_BR[],4,FALSE),IF($B14= "platyna",VLOOKUP($A14,moduly_podstawowe_BR[],6,FALSE))))</f>
        <v>415</v>
      </c>
      <c r="D14" s="17">
        <f>IF($B14="srebro",VLOOKUP($A14,moduly_podstawowe_BR[],3,FALSE),IF($B14="złoto",VLOOKUP($A14,moduly_podstawowe_BR[],5,FALSE),IF($B14= "platyna",VLOOKUP($A14,moduly_podstawowe_BR[],7,FALSE))))</f>
        <v>415</v>
      </c>
      <c r="E14" s="18">
        <v>0</v>
      </c>
      <c r="F14" s="18">
        <v>0</v>
      </c>
      <c r="G14" s="19">
        <f t="shared" si="0"/>
        <v>0</v>
      </c>
      <c r="H14" s="15">
        <f t="shared" si="1"/>
        <v>0</v>
      </c>
      <c r="M14">
        <f t="shared" si="2"/>
        <v>0</v>
      </c>
    </row>
    <row r="15" spans="1:13" ht="15.6" x14ac:dyDescent="0.3">
      <c r="A15" s="37" t="s">
        <v>135</v>
      </c>
      <c r="B15" s="18" t="s">
        <v>3</v>
      </c>
      <c r="C15" s="17">
        <f>IF($B15="srebro",VLOOKUP($A15,moduly_podstawowe_BR[],2,FALSE),IF($B15="złoto",VLOOKUP($A15,moduly_podstawowe_BR[],4,FALSE),IF($B15= "platyna",VLOOKUP($A15,moduly_podstawowe_BR[],6,FALSE))))</f>
        <v>645</v>
      </c>
      <c r="D15" s="17">
        <f>IF($B15="srebro",VLOOKUP($A15,moduly_podstawowe_BR[],3,FALSE),IF($B15="złoto",VLOOKUP($A15,moduly_podstawowe_BR[],5,FALSE),IF($B15= "platyna",VLOOKUP($A15,moduly_podstawowe_BR[],7,FALSE))))</f>
        <v>645</v>
      </c>
      <c r="E15" s="18">
        <v>0</v>
      </c>
      <c r="F15" s="18">
        <v>0</v>
      </c>
      <c r="G15" s="19">
        <f t="shared" si="0"/>
        <v>0</v>
      </c>
      <c r="H15" s="15">
        <f t="shared" si="1"/>
        <v>0</v>
      </c>
      <c r="K15" s="142"/>
      <c r="M15">
        <f t="shared" si="2"/>
        <v>0</v>
      </c>
    </row>
    <row r="16" spans="1:13" ht="15.6" x14ac:dyDescent="0.3">
      <c r="A16" s="37" t="s">
        <v>136</v>
      </c>
      <c r="B16" s="17"/>
      <c r="C16" s="17">
        <f>VLOOKUP(A16,moduly_podstawowe_BR[],4,FALSE)</f>
        <v>3980</v>
      </c>
      <c r="D16" s="17"/>
      <c r="E16" s="17"/>
      <c r="F16" s="17"/>
      <c r="G16" s="19">
        <f>IF(OR((AND(B14="platyna",E14&gt;0)),E15&gt;0),C16,0)</f>
        <v>0</v>
      </c>
      <c r="H16" s="15">
        <f t="shared" si="1"/>
        <v>0</v>
      </c>
      <c r="K16" s="142"/>
      <c r="M16">
        <f t="shared" si="2"/>
        <v>0</v>
      </c>
    </row>
    <row r="17" spans="1:14" ht="15.6" x14ac:dyDescent="0.3">
      <c r="A17" s="37" t="s">
        <v>179</v>
      </c>
      <c r="B17" s="18" t="s">
        <v>3</v>
      </c>
      <c r="C17" s="17">
        <f>IF($B17="srebro",VLOOKUP($A17,moduly_podstawowe_BR[],2,FALSE),IF($B17="złoto",VLOOKUP($A17,moduly_podstawowe_BR[],4,FALSE),IF($B17= "platyna",VLOOKUP($A17,moduly_podstawowe_BR[],6,FALSE))))</f>
        <v>1250</v>
      </c>
      <c r="D17" s="17">
        <f>IF($B17="srebro",VLOOKUP($A17,moduly_podstawowe_BR[],3,FALSE),IF($B17="złoto",VLOOKUP($A17,moduly_podstawowe_BR[],5,FALSE),IF($B17= "platyna",VLOOKUP($A17,moduly_podstawowe_BR[],7,FALSE))))</f>
        <v>1390</v>
      </c>
      <c r="E17" s="18">
        <v>0</v>
      </c>
      <c r="F17" s="18">
        <v>0</v>
      </c>
      <c r="G17" s="19">
        <f>IF(F17=0,C17*E17,IF(OR(AND(E17=0,F17&lt;&gt;0),F17&gt;E17),"błąd",((E17-F17)*C17)+(D17*F17)))</f>
        <v>0</v>
      </c>
      <c r="H17" s="15">
        <f t="shared" si="1"/>
        <v>0</v>
      </c>
      <c r="J17" s="237" t="str">
        <f>IF(F17&gt;0,"jeżeli planujemy korzystać z Poglądu multi to na licencji musi być min. 1 st. multi w ramach poglądanego modułu"," ")</f>
        <v xml:space="preserve"> </v>
      </c>
      <c r="K17" s="142"/>
      <c r="M17">
        <f t="shared" si="2"/>
        <v>0</v>
      </c>
    </row>
    <row r="18" spans="1:14" ht="15.6" x14ac:dyDescent="0.3">
      <c r="A18" s="37" t="s">
        <v>137</v>
      </c>
      <c r="B18" s="18" t="s">
        <v>3</v>
      </c>
      <c r="C18" s="17">
        <f>IF($B18="srebro",VLOOKUP($A18,moduly_podstawowe_BR[],2,FALSE),IF($B18="złoto",VLOOKUP($A18,moduly_podstawowe_BR[],4,FALSE),IF($B18= "platyna",VLOOKUP($A18,moduly_podstawowe_BR[],6,FALSE))))</f>
        <v>1470</v>
      </c>
      <c r="D18" s="17">
        <f>IF($B18="srebro",VLOOKUP($A18,moduly_podstawowe_BR[],3,FALSE),IF($B18="złoto",VLOOKUP($A18,moduly_podstawowe_BR[],5,FALSE),IF($B18= "platyna",VLOOKUP($A18,moduly_podstawowe_BR[],7,FALSE))))</f>
        <v>1590</v>
      </c>
      <c r="E18" s="18">
        <v>0</v>
      </c>
      <c r="F18" s="18">
        <v>0</v>
      </c>
      <c r="G18" s="19">
        <f>IF(F18=0,C18*E18,IF(OR(AND(E18=0,F18&lt;&gt;0),F18&gt;E18),"błąd",((E18-F18)*C18)+(D18*F18)))</f>
        <v>0</v>
      </c>
      <c r="H18" s="15">
        <f t="shared" si="1"/>
        <v>0</v>
      </c>
      <c r="K18" s="142"/>
      <c r="M18">
        <f t="shared" si="2"/>
        <v>0</v>
      </c>
    </row>
    <row r="19" spans="1:14" ht="15.6" x14ac:dyDescent="0.3">
      <c r="A19" s="200" t="s">
        <v>138</v>
      </c>
      <c r="B19" s="18" t="s">
        <v>3</v>
      </c>
      <c r="C19" s="17">
        <f>IF($B19="srebro",VLOOKUP($A19,moduly_podstawowe_BR[],2,FALSE),IF($B19="złoto",VLOOKUP($A19,moduly_podstawowe_BR[],4,FALSE),IF($B19= "platyna",VLOOKUP($A19,moduly_podstawowe_BR[],6,FALSE))))</f>
        <v>895</v>
      </c>
      <c r="D19" s="17">
        <f>IF($B19="srebro",VLOOKUP($A19,moduly_podstawowe_BR[],3,FALSE),IF($B19="złoto",VLOOKUP($A19,moduly_podstawowe_BR[],5,FALSE),IF($B19= "platyna",VLOOKUP($A19,moduly_podstawowe_BR[],7,FALSE))))</f>
        <v>985</v>
      </c>
      <c r="E19" s="18">
        <v>0</v>
      </c>
      <c r="F19" s="18">
        <v>0</v>
      </c>
      <c r="G19" s="19">
        <f>IF(F19=0,C19*E19,IF(OR(AND(E19=0,F19&lt;&gt;0),F19&gt;E19),"błąd",((E19-F19)*C19)+(D19*F19)))</f>
        <v>0</v>
      </c>
      <c r="H19" s="15">
        <f t="shared" si="1"/>
        <v>0</v>
      </c>
      <c r="K19" s="142"/>
      <c r="M19">
        <f t="shared" si="2"/>
        <v>0</v>
      </c>
    </row>
    <row r="20" spans="1:14" ht="15.6" x14ac:dyDescent="0.3">
      <c r="A20" s="200" t="s">
        <v>224</v>
      </c>
      <c r="B20" s="18" t="s">
        <v>3</v>
      </c>
      <c r="C20" s="17">
        <f>IF($B20="srebro",VLOOKUP($A20,moduly_podstawowe_BR[],2,FALSE),IF($B20="złoto",VLOOKUP($A20,moduly_podstawowe_BR[],4,FALSE),IF($B20= "platyna",VLOOKUP($A20,moduly_podstawowe_BR[],6,FALSE))))</f>
        <v>205</v>
      </c>
      <c r="D20" s="17">
        <f>IF($B20="srebro",VLOOKUP($A20,moduly_podstawowe_BR[],3,FALSE),IF($B20="złoto",VLOOKUP($A20,moduly_podstawowe_BR[],5,FALSE),IF($B20= "platyna",VLOOKUP($A20,moduly_podstawowe_BR[],7,FALSE))))</f>
        <v>205</v>
      </c>
      <c r="E20" s="18">
        <v>0</v>
      </c>
      <c r="F20" s="18">
        <v>0</v>
      </c>
      <c r="G20" s="19">
        <f>IF(F20=0,C20*E20,IF(OR(AND(E20=0,F20&lt;&gt;0),F20&gt;E20),"błąd",((E20-F20)*C20)+(D20*F20)))</f>
        <v>0</v>
      </c>
      <c r="H20" s="15">
        <f t="shared" si="1"/>
        <v>0</v>
      </c>
      <c r="K20" s="142"/>
      <c r="M20">
        <f t="shared" si="2"/>
        <v>0</v>
      </c>
    </row>
    <row r="21" spans="1:14" ht="15.6" x14ac:dyDescent="0.3">
      <c r="A21" s="283" t="s">
        <v>14</v>
      </c>
      <c r="B21" s="284"/>
      <c r="C21" s="53"/>
      <c r="D21" s="53"/>
      <c r="E21" s="53"/>
      <c r="F21" s="54"/>
      <c r="G21" s="41">
        <f>SUM(G3:G20)</f>
        <v>0</v>
      </c>
      <c r="H21" s="15">
        <f t="shared" si="1"/>
        <v>0</v>
      </c>
      <c r="M21">
        <f>SUM(M3:M20)</f>
        <v>0</v>
      </c>
      <c r="N21">
        <f>SUM(M21:M21)</f>
        <v>0</v>
      </c>
    </row>
    <row r="22" spans="1:14" ht="15.6" x14ac:dyDescent="0.3">
      <c r="A22" s="273" t="s">
        <v>156</v>
      </c>
      <c r="B22" s="274"/>
      <c r="C22" s="275"/>
      <c r="D22" s="31"/>
      <c r="E22" s="160"/>
      <c r="F22" s="161"/>
      <c r="G22" s="157"/>
      <c r="H22" s="123">
        <f>H24</f>
        <v>0</v>
      </c>
    </row>
    <row r="23" spans="1:14" ht="15.6" x14ac:dyDescent="0.3">
      <c r="A23" s="158" t="s">
        <v>182</v>
      </c>
      <c r="B23" s="136" t="str">
        <f>IF(SUM(E3:E20)=0," ",IF(AND(SUM(E3:E20)&gt;0,N21&gt;0),"złoto","platyna"))</f>
        <v xml:space="preserve"> </v>
      </c>
      <c r="C23" s="17"/>
      <c r="D23" s="17" t="str">
        <f>IF(B23="złoto",VLOOKUP(SUM(E3:E13,E17:E19),'Cennik enova365'!$A$146:$E$151,4,TRUE),IF(B23="platyna",VLOOKUP(SUM(E3:E13,E17:E19),'Cennik enova365'!$A$146:$E$151,5,TRUE)," "))</f>
        <v xml:space="preserve"> </v>
      </c>
      <c r="E23" s="18" t="s">
        <v>4</v>
      </c>
      <c r="F23" s="17"/>
      <c r="G23" s="19">
        <f>IF(E23="TAK",D23,0)</f>
        <v>0</v>
      </c>
      <c r="H23" s="123">
        <f t="shared" ref="H23:H24" si="3">IF(G23&gt;0,1,0)</f>
        <v>0</v>
      </c>
    </row>
    <row r="24" spans="1:14" ht="15.6" x14ac:dyDescent="0.3">
      <c r="A24" s="127" t="s">
        <v>90</v>
      </c>
      <c r="B24" s="159"/>
      <c r="C24" s="129"/>
      <c r="D24" s="129"/>
      <c r="E24" s="130"/>
      <c r="F24" s="131"/>
      <c r="G24" s="22">
        <f>SUM(G23:G23)</f>
        <v>0</v>
      </c>
      <c r="H24" s="123">
        <f t="shared" si="3"/>
        <v>0</v>
      </c>
    </row>
    <row r="25" spans="1:14" ht="15.6" x14ac:dyDescent="0.3">
      <c r="A25" s="258" t="s">
        <v>159</v>
      </c>
      <c r="B25" s="259"/>
      <c r="C25" s="260"/>
      <c r="D25" s="65"/>
      <c r="E25" s="65" t="s">
        <v>34</v>
      </c>
      <c r="F25" s="66"/>
      <c r="G25" s="67"/>
      <c r="H25" s="15">
        <f>IF(G32&gt;0,1,0)</f>
        <v>0</v>
      </c>
    </row>
    <row r="26" spans="1:14" ht="15.6" x14ac:dyDescent="0.3">
      <c r="A26" s="37" t="s">
        <v>58</v>
      </c>
      <c r="B26" s="25" t="s">
        <v>4</v>
      </c>
      <c r="C26" s="17">
        <f>VLOOKUP(E26,pulpity_KP[],2,FALSE)</f>
        <v>4540</v>
      </c>
      <c r="D26" s="17"/>
      <c r="E26" s="18" t="s">
        <v>168</v>
      </c>
      <c r="F26" s="36"/>
      <c r="G26" s="19">
        <f>IF(B26="TAK",C26,0)</f>
        <v>0</v>
      </c>
      <c r="H26" s="15">
        <f t="shared" si="1"/>
        <v>0</v>
      </c>
    </row>
    <row r="27" spans="1:14" ht="15.6" x14ac:dyDescent="0.3">
      <c r="A27" s="37" t="s">
        <v>30</v>
      </c>
      <c r="B27" s="25" t="s">
        <v>4</v>
      </c>
      <c r="C27" s="17">
        <f>VLOOKUP(A27,pulpity_KP[],2,FALSE)</f>
        <v>305</v>
      </c>
      <c r="D27" s="17"/>
      <c r="E27" s="18">
        <v>0</v>
      </c>
      <c r="F27" s="36"/>
      <c r="G27" s="19">
        <f>IF(B27="TAK",C27*E27,0)</f>
        <v>0</v>
      </c>
      <c r="H27" s="15">
        <f t="shared" si="1"/>
        <v>0</v>
      </c>
    </row>
    <row r="28" spans="1:14" ht="15.6" x14ac:dyDescent="0.3">
      <c r="A28" s="37" t="s">
        <v>72</v>
      </c>
      <c r="B28" s="25" t="s">
        <v>4</v>
      </c>
      <c r="C28" s="17">
        <f>VLOOKUP(E28,pulpity_WF[],2,FALSE)</f>
        <v>2270</v>
      </c>
      <c r="D28" s="17"/>
      <c r="E28" s="18" t="s">
        <v>168</v>
      </c>
      <c r="F28" s="36"/>
      <c r="G28" s="19">
        <f t="shared" ref="G28:G31" si="4">IF(B28="TAK",C28,0)</f>
        <v>0</v>
      </c>
      <c r="H28" s="15">
        <f>IF(G28&gt;0,1,0)</f>
        <v>0</v>
      </c>
    </row>
    <row r="29" spans="1:14" s="217" customFormat="1" ht="15.6" x14ac:dyDescent="0.3">
      <c r="A29" s="222" t="s">
        <v>200</v>
      </c>
      <c r="B29" s="25" t="s">
        <v>4</v>
      </c>
      <c r="C29" s="219">
        <f>VLOOKUP(E29,pulpity_BI[],2,FALSE)</f>
        <v>1290</v>
      </c>
      <c r="D29" s="219"/>
      <c r="E29" s="220" t="s">
        <v>168</v>
      </c>
      <c r="F29" s="216"/>
      <c r="G29" s="221">
        <f t="shared" si="4"/>
        <v>0</v>
      </c>
      <c r="H29" s="223">
        <f>IF(G29&gt;0,1,0)</f>
        <v>0</v>
      </c>
    </row>
    <row r="30" spans="1:14" s="217" customFormat="1" ht="15.6" x14ac:dyDescent="0.3">
      <c r="A30" s="222" t="s">
        <v>225</v>
      </c>
      <c r="B30" s="25" t="s">
        <v>4</v>
      </c>
      <c r="C30" s="219">
        <f>VLOOKUP(E30,enova365_Praca_Hybrydowa_w_Pulpitach,2,FALSE)</f>
        <v>2160</v>
      </c>
      <c r="D30" s="219"/>
      <c r="E30" s="220" t="s">
        <v>168</v>
      </c>
      <c r="F30" s="216"/>
      <c r="G30" s="221">
        <f t="shared" si="4"/>
        <v>0</v>
      </c>
      <c r="H30" s="223">
        <f>IF(G30&gt;0,1,0)</f>
        <v>0</v>
      </c>
    </row>
    <row r="31" spans="1:14" s="123" customFormat="1" ht="15.6" x14ac:dyDescent="0.3">
      <c r="A31" s="37" t="s">
        <v>98</v>
      </c>
      <c r="B31" s="25" t="s">
        <v>4</v>
      </c>
      <c r="C31" s="17">
        <f>VLOOKUP(A31,pulpity_KP[],2,FALSE)</f>
        <v>7520</v>
      </c>
      <c r="D31" s="17"/>
      <c r="E31" s="17"/>
      <c r="F31" s="36"/>
      <c r="G31" s="19">
        <f t="shared" si="4"/>
        <v>0</v>
      </c>
      <c r="H31" s="123">
        <f t="shared" ref="H31" si="5">IF(G31&gt;0,1,0)</f>
        <v>0</v>
      </c>
      <c r="J31" s="124"/>
      <c r="K31" s="134"/>
      <c r="L31" s="134"/>
    </row>
    <row r="32" spans="1:14" ht="15.6" x14ac:dyDescent="0.3">
      <c r="A32" s="283" t="s">
        <v>37</v>
      </c>
      <c r="B32" s="284"/>
      <c r="C32" s="53"/>
      <c r="D32" s="53"/>
      <c r="E32" s="53"/>
      <c r="F32" s="54"/>
      <c r="G32" s="41">
        <f>SUM(G26:G31)</f>
        <v>0</v>
      </c>
      <c r="H32" s="15">
        <f t="shared" si="1"/>
        <v>0</v>
      </c>
    </row>
    <row r="33" spans="1:10" ht="15.6" x14ac:dyDescent="0.3">
      <c r="A33" s="273" t="s">
        <v>165</v>
      </c>
      <c r="B33" s="274"/>
      <c r="C33" s="275"/>
      <c r="D33" s="68"/>
      <c r="E33" s="65" t="s">
        <v>31</v>
      </c>
      <c r="F33" s="66"/>
      <c r="G33" s="69"/>
      <c r="H33" s="15">
        <f>H35</f>
        <v>0</v>
      </c>
    </row>
    <row r="34" spans="1:10" ht="31.2" x14ac:dyDescent="0.3">
      <c r="A34" s="55" t="s">
        <v>166</v>
      </c>
      <c r="B34" s="82" t="s">
        <v>4</v>
      </c>
      <c r="C34" s="56">
        <f>VLOOKUP("dopłata za kolejną bazę",pulpity_KBR[],2,FALSE)</f>
        <v>5.475E-2</v>
      </c>
      <c r="D34" s="56"/>
      <c r="E34" s="83">
        <v>0</v>
      </c>
      <c r="F34" s="110"/>
      <c r="G34" s="57">
        <f>IF(B34="TAK",(G32*E34)*C34,0)</f>
        <v>0</v>
      </c>
      <c r="H34" s="58">
        <f t="shared" si="1"/>
        <v>0</v>
      </c>
    </row>
    <row r="35" spans="1:10" ht="15.6" x14ac:dyDescent="0.3">
      <c r="A35" s="283" t="s">
        <v>75</v>
      </c>
      <c r="B35" s="284"/>
      <c r="C35" s="38"/>
      <c r="D35" s="38"/>
      <c r="E35" s="38"/>
      <c r="F35" s="40"/>
      <c r="G35" s="41">
        <f>G32+G34</f>
        <v>0</v>
      </c>
      <c r="H35" s="15">
        <f t="shared" si="1"/>
        <v>0</v>
      </c>
    </row>
    <row r="36" spans="1:10" ht="15.6" x14ac:dyDescent="0.3">
      <c r="A36" s="233" t="s">
        <v>206</v>
      </c>
      <c r="B36" s="234"/>
      <c r="C36" s="235"/>
      <c r="D36" s="70"/>
      <c r="E36" s="65" t="s">
        <v>79</v>
      </c>
      <c r="F36" s="66"/>
      <c r="G36" s="71"/>
      <c r="H36" s="15">
        <f>H38</f>
        <v>0</v>
      </c>
    </row>
    <row r="37" spans="1:10" ht="15.6" x14ac:dyDescent="0.3">
      <c r="A37" s="37" t="s">
        <v>73</v>
      </c>
      <c r="B37" s="82" t="s">
        <v>4</v>
      </c>
      <c r="C37" s="17" t="s">
        <v>204</v>
      </c>
      <c r="D37" s="17">
        <f>IF($C37="Podstawowy miesięczny",VLOOKUP($E37,pulpity_KBR[],2,FALSE),IF($C37="Podstawowy roczny",VLOOKUP($E37,pulpity_KBR[],3,FALSE),IF($C37="Rozszerzony miesięczny",VLOOKUP($E37,pulpity_KBR[],3,FALSE),IF($C37="Rozszerzony roczny",VLOOKUP($E37,pulpity_KBR[],5,FALSE)))))</f>
        <v>225</v>
      </c>
      <c r="E37" s="18" t="s">
        <v>174</v>
      </c>
      <c r="F37" s="36"/>
      <c r="G37" s="19">
        <f>IF(B37="TAK",D37,0)</f>
        <v>0</v>
      </c>
      <c r="H37" s="15">
        <f t="shared" si="1"/>
        <v>0</v>
      </c>
      <c r="J37" s="237" t="str">
        <f>IF(B37="NIE"," ",IF(C37="PODSTAWOWY MIESIĘCZNY","abonament za jeden miesiąc",IF(C37="ROZSZERZONY MIESIĘCZNY","wymaga posiadania na licencji min. 1 st. Faktur w wersji srebrnej, abonament za jeden miesiąc",IF(C37="PODSTAWOWY ROCZNY"," ",IF(C37="ROZSZERZONY ROCZNY","wymaga posiadania na licencji min. 1 st. Faktur w wersji srebrnej ")))))</f>
        <v xml:space="preserve"> </v>
      </c>
    </row>
    <row r="38" spans="1:10" ht="15.6" x14ac:dyDescent="0.3">
      <c r="A38" s="285" t="s">
        <v>74</v>
      </c>
      <c r="B38" s="286"/>
      <c r="C38" s="53"/>
      <c r="D38" s="53"/>
      <c r="E38" s="53"/>
      <c r="F38" s="54"/>
      <c r="G38" s="41">
        <f>G37</f>
        <v>0</v>
      </c>
      <c r="H38" s="15">
        <f t="shared" si="1"/>
        <v>0</v>
      </c>
    </row>
    <row r="39" spans="1:10" ht="47.4" customHeight="1" x14ac:dyDescent="0.3">
      <c r="A39" s="276" t="s">
        <v>157</v>
      </c>
      <c r="B39" s="259"/>
      <c r="C39" s="260"/>
      <c r="D39" s="72"/>
      <c r="E39" s="70"/>
      <c r="F39" s="73"/>
      <c r="G39" s="71"/>
      <c r="H39" s="15">
        <f>H65</f>
        <v>1</v>
      </c>
    </row>
    <row r="40" spans="1:10" ht="15.6" x14ac:dyDescent="0.3">
      <c r="A40" s="263" t="s">
        <v>100</v>
      </c>
      <c r="B40" s="264"/>
      <c r="C40" s="265"/>
      <c r="D40" s="17">
        <f>VLOOKUP($A40,moduly_dodatkowe[],2,FALSE)</f>
        <v>3770</v>
      </c>
      <c r="E40" s="18" t="s">
        <v>4</v>
      </c>
      <c r="F40" s="146"/>
      <c r="G40" s="19">
        <f t="shared" ref="G40:G63" si="6">IF(SUM(E$3:E$15)=0,IF(E40="TAK",D40,0),IF(N$21=0,0,IF(E40="TAK",D40,0)))</f>
        <v>0</v>
      </c>
      <c r="H40" s="15">
        <f>IF(E40="TAK",1,0)</f>
        <v>0</v>
      </c>
    </row>
    <row r="41" spans="1:10" ht="15.6" x14ac:dyDescent="0.3">
      <c r="A41" s="263" t="s">
        <v>50</v>
      </c>
      <c r="B41" s="264"/>
      <c r="C41" s="265"/>
      <c r="D41" s="17">
        <f>VLOOKUP($A41,moduly_dodatkowe[],2,FALSE)</f>
        <v>3770</v>
      </c>
      <c r="E41" s="18" t="s">
        <v>4</v>
      </c>
      <c r="F41" s="36"/>
      <c r="G41" s="19">
        <f t="shared" si="6"/>
        <v>0</v>
      </c>
      <c r="H41" s="15">
        <f t="shared" ref="H41:H63" si="7">IF(E41="TAK",1,0)</f>
        <v>0</v>
      </c>
    </row>
    <row r="42" spans="1:10" ht="15.6" x14ac:dyDescent="0.3">
      <c r="A42" s="263" t="s">
        <v>101</v>
      </c>
      <c r="B42" s="264"/>
      <c r="C42" s="265"/>
      <c r="D42" s="17">
        <f>VLOOKUP($A42,moduly_dodatkowe[],2,FALSE)</f>
        <v>11400</v>
      </c>
      <c r="E42" s="18" t="s">
        <v>4</v>
      </c>
      <c r="F42" s="36"/>
      <c r="G42" s="19">
        <f t="shared" si="6"/>
        <v>0</v>
      </c>
      <c r="H42" s="15">
        <f t="shared" si="7"/>
        <v>0</v>
      </c>
    </row>
    <row r="43" spans="1:10" ht="15.6" x14ac:dyDescent="0.3">
      <c r="A43" s="263" t="s">
        <v>102</v>
      </c>
      <c r="B43" s="264"/>
      <c r="C43" s="265"/>
      <c r="D43" s="17">
        <f>VLOOKUP($A43,moduly_dodatkowe[],2,FALSE)</f>
        <v>1060</v>
      </c>
      <c r="E43" s="18" t="s">
        <v>4</v>
      </c>
      <c r="F43" s="36"/>
      <c r="G43" s="19">
        <f t="shared" si="6"/>
        <v>0</v>
      </c>
      <c r="H43" s="15">
        <f t="shared" si="7"/>
        <v>0</v>
      </c>
    </row>
    <row r="44" spans="1:10" ht="15.6" x14ac:dyDescent="0.3">
      <c r="A44" s="263" t="s">
        <v>51</v>
      </c>
      <c r="B44" s="264"/>
      <c r="C44" s="265"/>
      <c r="D44" s="17">
        <f>VLOOKUP($A44,moduly_dodatkowe[],2,FALSE)</f>
        <v>3020</v>
      </c>
      <c r="E44" s="18" t="s">
        <v>4</v>
      </c>
      <c r="F44" s="36"/>
      <c r="G44" s="19">
        <f t="shared" si="6"/>
        <v>0</v>
      </c>
      <c r="H44" s="15">
        <f t="shared" si="7"/>
        <v>0</v>
      </c>
    </row>
    <row r="45" spans="1:10" ht="15.6" x14ac:dyDescent="0.3">
      <c r="A45" s="263" t="s">
        <v>103</v>
      </c>
      <c r="B45" s="264"/>
      <c r="C45" s="265"/>
      <c r="D45" s="17">
        <f>VLOOKUP($A45,moduly_dodatkowe[],2,FALSE)</f>
        <v>3020</v>
      </c>
      <c r="E45" s="18" t="s">
        <v>4</v>
      </c>
      <c r="F45" s="36"/>
      <c r="G45" s="19">
        <f t="shared" si="6"/>
        <v>0</v>
      </c>
      <c r="H45" s="15">
        <f t="shared" si="7"/>
        <v>0</v>
      </c>
    </row>
    <row r="46" spans="1:10" ht="15.6" x14ac:dyDescent="0.3">
      <c r="A46" s="263" t="s">
        <v>99</v>
      </c>
      <c r="B46" s="264"/>
      <c r="C46" s="265"/>
      <c r="D46" s="17">
        <f>VLOOKUP($A46,moduly_dodatkowe[],2,FALSE)</f>
        <v>2270</v>
      </c>
      <c r="E46" s="18" t="s">
        <v>4</v>
      </c>
      <c r="F46" s="36"/>
      <c r="G46" s="19">
        <f t="shared" si="6"/>
        <v>0</v>
      </c>
      <c r="H46" s="123">
        <f t="shared" si="7"/>
        <v>0</v>
      </c>
    </row>
    <row r="47" spans="1:10" ht="15.6" x14ac:dyDescent="0.3">
      <c r="A47" s="263" t="s">
        <v>201</v>
      </c>
      <c r="B47" s="264"/>
      <c r="C47" s="265"/>
      <c r="D47" s="17">
        <f>VLOOKUP($A47,moduly_dodatkowe[],2,FALSE)</f>
        <v>6520</v>
      </c>
      <c r="E47" s="18" t="s">
        <v>4</v>
      </c>
      <c r="F47" s="36"/>
      <c r="G47" s="19">
        <f t="shared" si="6"/>
        <v>0</v>
      </c>
      <c r="H47" s="123">
        <f t="shared" si="7"/>
        <v>0</v>
      </c>
    </row>
    <row r="48" spans="1:10" ht="15.6" x14ac:dyDescent="0.3">
      <c r="A48" s="263" t="s">
        <v>180</v>
      </c>
      <c r="B48" s="264"/>
      <c r="C48" s="265"/>
      <c r="D48" s="17">
        <f>VLOOKUP($A48,moduly_dodatkowe[],2,FALSE)</f>
        <v>1360</v>
      </c>
      <c r="E48" s="18" t="s">
        <v>4</v>
      </c>
      <c r="F48" s="36"/>
      <c r="G48" s="19">
        <f t="shared" si="6"/>
        <v>0</v>
      </c>
      <c r="H48" s="123">
        <f t="shared" si="7"/>
        <v>0</v>
      </c>
    </row>
    <row r="49" spans="1:8" ht="15.6" x14ac:dyDescent="0.3">
      <c r="A49" s="263" t="s">
        <v>228</v>
      </c>
      <c r="B49" s="264"/>
      <c r="C49" s="265"/>
      <c r="D49" s="17">
        <f>VLOOKUP($A49,moduly_dodatkowe[],2,FALSE)</f>
        <v>3640</v>
      </c>
      <c r="E49" s="18" t="s">
        <v>4</v>
      </c>
      <c r="F49" s="36"/>
      <c r="G49" s="19">
        <f t="shared" si="6"/>
        <v>0</v>
      </c>
      <c r="H49" s="123">
        <f t="shared" si="7"/>
        <v>0</v>
      </c>
    </row>
    <row r="50" spans="1:8" ht="15.6" x14ac:dyDescent="0.3">
      <c r="A50" s="263" t="s">
        <v>87</v>
      </c>
      <c r="B50" s="264"/>
      <c r="C50" s="265"/>
      <c r="D50" s="17">
        <f>VLOOKUP($A50,moduly_dodatkowe[],2,FALSE)</f>
        <v>3770</v>
      </c>
      <c r="E50" s="18" t="s">
        <v>4</v>
      </c>
      <c r="F50" s="36"/>
      <c r="G50" s="19">
        <f t="shared" si="6"/>
        <v>0</v>
      </c>
      <c r="H50" s="15">
        <f t="shared" si="7"/>
        <v>0</v>
      </c>
    </row>
    <row r="51" spans="1:8" ht="15.6" x14ac:dyDescent="0.3">
      <c r="A51" s="263" t="s">
        <v>45</v>
      </c>
      <c r="B51" s="264"/>
      <c r="C51" s="265"/>
      <c r="D51" s="17">
        <f>VLOOKUP($A51,moduly_dodatkowe[],2,FALSE)</f>
        <v>3020</v>
      </c>
      <c r="E51" s="18" t="s">
        <v>4</v>
      </c>
      <c r="F51" s="36"/>
      <c r="G51" s="19">
        <f t="shared" si="6"/>
        <v>0</v>
      </c>
      <c r="H51" s="15">
        <f t="shared" si="7"/>
        <v>0</v>
      </c>
    </row>
    <row r="52" spans="1:8" ht="15.6" x14ac:dyDescent="0.3">
      <c r="A52" s="263" t="s">
        <v>46</v>
      </c>
      <c r="B52" s="264"/>
      <c r="C52" s="265"/>
      <c r="D52" s="17">
        <f>VLOOKUP($A52,moduly_dodatkowe[],2,FALSE)</f>
        <v>3330</v>
      </c>
      <c r="E52" s="18" t="s">
        <v>4</v>
      </c>
      <c r="F52" s="36"/>
      <c r="G52" s="19">
        <f t="shared" si="6"/>
        <v>0</v>
      </c>
      <c r="H52" s="15">
        <f t="shared" si="7"/>
        <v>0</v>
      </c>
    </row>
    <row r="53" spans="1:8" ht="15.6" x14ac:dyDescent="0.3">
      <c r="A53" s="263" t="s">
        <v>47</v>
      </c>
      <c r="B53" s="264"/>
      <c r="C53" s="265"/>
      <c r="D53" s="17">
        <f>VLOOKUP($A53,moduly_dodatkowe[],2,FALSE)</f>
        <v>3770</v>
      </c>
      <c r="E53" s="18" t="s">
        <v>4</v>
      </c>
      <c r="F53" s="36"/>
      <c r="G53" s="19">
        <f t="shared" si="6"/>
        <v>0</v>
      </c>
      <c r="H53" s="15">
        <f t="shared" si="7"/>
        <v>0</v>
      </c>
    </row>
    <row r="54" spans="1:8" ht="15.6" x14ac:dyDescent="0.3">
      <c r="A54" s="263" t="s">
        <v>48</v>
      </c>
      <c r="B54" s="264"/>
      <c r="C54" s="265"/>
      <c r="D54" s="17">
        <f>VLOOKUP($A54,moduly_dodatkowe[],2,FALSE)</f>
        <v>2270</v>
      </c>
      <c r="E54" s="18" t="s">
        <v>4</v>
      </c>
      <c r="F54" s="36"/>
      <c r="G54" s="19">
        <f t="shared" si="6"/>
        <v>0</v>
      </c>
      <c r="H54" s="15">
        <f t="shared" si="7"/>
        <v>0</v>
      </c>
    </row>
    <row r="55" spans="1:8" ht="15.6" x14ac:dyDescent="0.3">
      <c r="A55" s="263" t="s">
        <v>49</v>
      </c>
      <c r="B55" s="264"/>
      <c r="C55" s="265"/>
      <c r="D55" s="17">
        <f>VLOOKUP($A55,moduly_dodatkowe[],2,FALSE)</f>
        <v>2270</v>
      </c>
      <c r="E55" s="18" t="s">
        <v>4</v>
      </c>
      <c r="F55" s="36"/>
      <c r="G55" s="19">
        <f t="shared" si="6"/>
        <v>0</v>
      </c>
      <c r="H55" s="15">
        <f t="shared" si="7"/>
        <v>0</v>
      </c>
    </row>
    <row r="56" spans="1:8" ht="15.6" x14ac:dyDescent="0.3">
      <c r="A56" s="263" t="s">
        <v>56</v>
      </c>
      <c r="B56" s="264"/>
      <c r="C56" s="265"/>
      <c r="D56" s="17">
        <f>VLOOKUP($A56,moduly_dodatkowe[],2,FALSE)</f>
        <v>1100</v>
      </c>
      <c r="E56" s="18" t="s">
        <v>4</v>
      </c>
      <c r="F56" s="36"/>
      <c r="G56" s="19">
        <f t="shared" si="6"/>
        <v>0</v>
      </c>
      <c r="H56" s="15">
        <f t="shared" si="7"/>
        <v>0</v>
      </c>
    </row>
    <row r="57" spans="1:8" ht="15.6" x14ac:dyDescent="0.3">
      <c r="A57" s="263" t="s">
        <v>104</v>
      </c>
      <c r="B57" s="264"/>
      <c r="C57" s="265"/>
      <c r="D57" s="17">
        <f>VLOOKUP($A57,moduly_dodatkowe[],2,FALSE)</f>
        <v>295</v>
      </c>
      <c r="E57" s="18" t="s">
        <v>4</v>
      </c>
      <c r="F57" s="36"/>
      <c r="G57" s="19">
        <f t="shared" si="6"/>
        <v>0</v>
      </c>
      <c r="H57" s="15">
        <f t="shared" si="7"/>
        <v>0</v>
      </c>
    </row>
    <row r="58" spans="1:8" ht="15.6" x14ac:dyDescent="0.3">
      <c r="A58" s="263" t="s">
        <v>55</v>
      </c>
      <c r="B58" s="264"/>
      <c r="C58" s="265"/>
      <c r="D58" s="17">
        <f>VLOOKUP($A58,moduly_dodatkowe[],2,FALSE)</f>
        <v>3020</v>
      </c>
      <c r="E58" s="18" t="s">
        <v>4</v>
      </c>
      <c r="F58" s="36"/>
      <c r="G58" s="19">
        <f t="shared" si="6"/>
        <v>0</v>
      </c>
      <c r="H58" s="15">
        <f t="shared" si="7"/>
        <v>0</v>
      </c>
    </row>
    <row r="59" spans="1:8" ht="15.6" x14ac:dyDescent="0.3">
      <c r="A59" s="263" t="s">
        <v>97</v>
      </c>
      <c r="B59" s="264"/>
      <c r="C59" s="265"/>
      <c r="D59" s="17">
        <f>VLOOKUP($A59,moduly_dodatkowe[],2,FALSE)</f>
        <v>7570</v>
      </c>
      <c r="E59" s="18" t="s">
        <v>4</v>
      </c>
      <c r="F59" s="36"/>
      <c r="G59" s="19">
        <f t="shared" si="6"/>
        <v>0</v>
      </c>
      <c r="H59" s="15">
        <f t="shared" si="7"/>
        <v>0</v>
      </c>
    </row>
    <row r="60" spans="1:8" ht="15.6" x14ac:dyDescent="0.3">
      <c r="A60" s="263" t="s">
        <v>53</v>
      </c>
      <c r="B60" s="264"/>
      <c r="C60" s="265"/>
      <c r="D60" s="17">
        <f>VLOOKUP($A60,moduly_dodatkowe[],2,FALSE)</f>
        <v>1360</v>
      </c>
      <c r="E60" s="18" t="s">
        <v>4</v>
      </c>
      <c r="F60" s="36"/>
      <c r="G60" s="19">
        <f t="shared" si="6"/>
        <v>0</v>
      </c>
      <c r="H60" s="15">
        <f t="shared" si="7"/>
        <v>0</v>
      </c>
    </row>
    <row r="61" spans="1:8" ht="15.6" x14ac:dyDescent="0.3">
      <c r="A61" s="263" t="s">
        <v>54</v>
      </c>
      <c r="B61" s="264"/>
      <c r="C61" s="265"/>
      <c r="D61" s="17">
        <f>VLOOKUP($A61,moduly_dodatkowe[],2,FALSE)</f>
        <v>1360</v>
      </c>
      <c r="E61" s="18" t="s">
        <v>4</v>
      </c>
      <c r="F61" s="36"/>
      <c r="G61" s="19">
        <f t="shared" si="6"/>
        <v>0</v>
      </c>
      <c r="H61" s="15">
        <f t="shared" si="7"/>
        <v>0</v>
      </c>
    </row>
    <row r="62" spans="1:8" ht="15.6" x14ac:dyDescent="0.3">
      <c r="A62" s="263" t="s">
        <v>70</v>
      </c>
      <c r="B62" s="264"/>
      <c r="C62" s="265"/>
      <c r="D62" s="17">
        <f>VLOOKUP($A62,moduly_dodatkowe[],2,FALSE)</f>
        <v>3020</v>
      </c>
      <c r="E62" s="18" t="s">
        <v>4</v>
      </c>
      <c r="F62" s="36"/>
      <c r="G62" s="19">
        <f t="shared" si="6"/>
        <v>0</v>
      </c>
      <c r="H62" s="15">
        <f t="shared" si="7"/>
        <v>0</v>
      </c>
    </row>
    <row r="63" spans="1:8" ht="15.6" x14ac:dyDescent="0.3">
      <c r="A63" s="263" t="s">
        <v>226</v>
      </c>
      <c r="B63" s="264"/>
      <c r="C63" s="265"/>
      <c r="D63" s="17">
        <f>VLOOKUP($A63,moduly_dodatkowe[],2,FALSE)</f>
        <v>2770</v>
      </c>
      <c r="E63" s="18" t="s">
        <v>4</v>
      </c>
      <c r="F63" s="36"/>
      <c r="G63" s="19">
        <f t="shared" si="6"/>
        <v>0</v>
      </c>
      <c r="H63" s="15">
        <f t="shared" si="7"/>
        <v>0</v>
      </c>
    </row>
    <row r="64" spans="1:8" ht="15.6" x14ac:dyDescent="0.3">
      <c r="A64" s="263" t="s">
        <v>208</v>
      </c>
      <c r="B64" s="264"/>
      <c r="C64" s="265"/>
      <c r="D64" s="17"/>
      <c r="E64" s="18" t="s">
        <v>2</v>
      </c>
      <c r="F64" s="36"/>
      <c r="G64" s="59" t="s">
        <v>69</v>
      </c>
      <c r="H64" s="15">
        <v>1</v>
      </c>
    </row>
    <row r="65" spans="1:12" ht="15.6" x14ac:dyDescent="0.3">
      <c r="A65" s="280" t="s">
        <v>15</v>
      </c>
      <c r="B65" s="281"/>
      <c r="C65" s="282"/>
      <c r="D65" s="39"/>
      <c r="E65" s="60"/>
      <c r="F65" s="61"/>
      <c r="G65" s="41">
        <f>SUM(G40:G63)</f>
        <v>0</v>
      </c>
      <c r="H65" s="15">
        <f>IF(SUM(H40:H64)&gt;0,1,0)</f>
        <v>1</v>
      </c>
    </row>
    <row r="66" spans="1:12" ht="15.6" x14ac:dyDescent="0.3">
      <c r="A66" s="258" t="s">
        <v>35</v>
      </c>
      <c r="B66" s="259"/>
      <c r="C66" s="260"/>
      <c r="D66" s="70"/>
      <c r="E66" s="68"/>
      <c r="F66" s="74"/>
      <c r="G66" s="71"/>
      <c r="H66" s="15">
        <f>IF(G70&gt;0,1,0)</f>
        <v>0</v>
      </c>
    </row>
    <row r="67" spans="1:12" ht="15.6" x14ac:dyDescent="0.3">
      <c r="A67" s="33"/>
      <c r="B67" s="34"/>
      <c r="C67" s="21" t="s">
        <v>26</v>
      </c>
      <c r="D67" s="21"/>
      <c r="E67" s="35" t="s">
        <v>24</v>
      </c>
      <c r="F67" s="36"/>
      <c r="G67" s="19"/>
      <c r="H67" s="15">
        <f>IF(G70&gt;0,1,0)</f>
        <v>0</v>
      </c>
    </row>
    <row r="68" spans="1:12" ht="15.6" x14ac:dyDescent="0.3">
      <c r="A68" s="37" t="s">
        <v>22</v>
      </c>
      <c r="B68" s="18" t="s">
        <v>4</v>
      </c>
      <c r="C68" s="17">
        <f>VLOOKUP($A68,tabele[],2,FALSE)</f>
        <v>545</v>
      </c>
      <c r="D68" s="17"/>
      <c r="E68" s="18">
        <v>1</v>
      </c>
      <c r="F68" s="36"/>
      <c r="G68" s="19">
        <f>IF(SUM(E$3:E$19)=0,IF(B68="TAK",C68*E68,0),IF(N$21=0,0,IF(B68="TAK",C68*E68,0)))</f>
        <v>0</v>
      </c>
      <c r="H68" s="15">
        <f t="shared" ref="H68:H76" si="8">IF(G68&gt;0,1,0)</f>
        <v>0</v>
      </c>
    </row>
    <row r="69" spans="1:12" ht="15.6" x14ac:dyDescent="0.3">
      <c r="A69" s="37" t="s">
        <v>23</v>
      </c>
      <c r="B69" s="18" t="s">
        <v>4</v>
      </c>
      <c r="C69" s="17">
        <f>VLOOKUP($A69,tabele[],2,FALSE)</f>
        <v>1100</v>
      </c>
      <c r="D69" s="17"/>
      <c r="E69" s="18">
        <v>1</v>
      </c>
      <c r="F69" s="36"/>
      <c r="G69" s="19">
        <f>IF(AND(B69="TAK",B68="tak"),(IF(E68&lt;5,"1..5 musi być 5",IF(SUM(E$3:E$19)=0,IF(B69="TAK",C69*E69,0),IF(N$21=0,0,IF(B69="TAK",C69*E69,0))))),0)</f>
        <v>0</v>
      </c>
      <c r="H69" s="15">
        <f t="shared" si="8"/>
        <v>0</v>
      </c>
    </row>
    <row r="70" spans="1:12" ht="15.6" x14ac:dyDescent="0.3">
      <c r="A70" s="42" t="s">
        <v>16</v>
      </c>
      <c r="B70" s="38"/>
      <c r="C70" s="39"/>
      <c r="D70" s="39"/>
      <c r="E70" s="38"/>
      <c r="F70" s="40"/>
      <c r="G70" s="41">
        <f>SUM(G68:G69)</f>
        <v>0</v>
      </c>
      <c r="H70" s="15">
        <f t="shared" si="8"/>
        <v>0</v>
      </c>
    </row>
    <row r="71" spans="1:12" s="123" customFormat="1" ht="15.6" x14ac:dyDescent="0.3">
      <c r="A71" s="37" t="str">
        <f>'Cennik enova365'!A154</f>
        <v>Pakiet Start</v>
      </c>
      <c r="B71" s="261" t="s">
        <v>161</v>
      </c>
      <c r="C71" s="17">
        <f>VLOOKUP($A71,pakiety_BR[],2,FALSE)</f>
        <v>795</v>
      </c>
      <c r="D71" s="17"/>
      <c r="E71" s="18" t="s">
        <v>4</v>
      </c>
      <c r="F71" s="36"/>
      <c r="G71" s="19">
        <f t="shared" ref="G71:G75" si="9">IF(E71="TAK",C71,0)</f>
        <v>0</v>
      </c>
      <c r="H71" s="123">
        <f t="shared" si="8"/>
        <v>0</v>
      </c>
      <c r="J71" s="134"/>
      <c r="K71" s="134"/>
      <c r="L71" s="134"/>
    </row>
    <row r="72" spans="1:12" s="123" customFormat="1" ht="15.6" x14ac:dyDescent="0.3">
      <c r="A72" s="37" t="s">
        <v>198</v>
      </c>
      <c r="B72" s="262"/>
      <c r="C72" s="17">
        <f>VLOOKUP($A72,pakiety_BR[],2,FALSE)</f>
        <v>1890</v>
      </c>
      <c r="D72" s="17"/>
      <c r="E72" s="18" t="s">
        <v>4</v>
      </c>
      <c r="F72" s="36"/>
      <c r="G72" s="19">
        <f t="shared" si="9"/>
        <v>0</v>
      </c>
      <c r="H72" s="123">
        <f t="shared" si="8"/>
        <v>0</v>
      </c>
      <c r="J72" s="134"/>
      <c r="K72" s="134"/>
      <c r="L72" s="134"/>
    </row>
    <row r="73" spans="1:12" s="123" customFormat="1" ht="15.6" x14ac:dyDescent="0.3">
      <c r="A73" s="37" t="str">
        <f>'Cennik enova365'!A156</f>
        <v>Pakiet Standard</v>
      </c>
      <c r="B73" s="262"/>
      <c r="C73" s="17">
        <f>VLOOKUP($A73,pakiety_BR[],2,FALSE)</f>
        <v>3090</v>
      </c>
      <c r="D73" s="17"/>
      <c r="E73" s="18" t="s">
        <v>4</v>
      </c>
      <c r="F73" s="36"/>
      <c r="G73" s="19">
        <f t="shared" si="9"/>
        <v>0</v>
      </c>
      <c r="H73" s="123">
        <f t="shared" si="8"/>
        <v>0</v>
      </c>
      <c r="J73" s="134"/>
      <c r="K73" s="134"/>
      <c r="L73" s="134"/>
    </row>
    <row r="74" spans="1:12" s="123" customFormat="1" ht="15.6" x14ac:dyDescent="0.3">
      <c r="A74" s="37" t="str">
        <f>'Cennik enova365'!A157</f>
        <v>Pakiet Optymalny</v>
      </c>
      <c r="B74" s="262"/>
      <c r="C74" s="17">
        <f>VLOOKUP($A74,pakiety_BR[],2,FALSE)</f>
        <v>4950</v>
      </c>
      <c r="D74" s="17"/>
      <c r="E74" s="18" t="s">
        <v>4</v>
      </c>
      <c r="F74" s="36"/>
      <c r="G74" s="19">
        <f t="shared" si="9"/>
        <v>0</v>
      </c>
      <c r="H74" s="123">
        <f t="shared" si="8"/>
        <v>0</v>
      </c>
      <c r="J74" s="134"/>
      <c r="K74" s="134"/>
      <c r="L74" s="134"/>
    </row>
    <row r="75" spans="1:12" s="123" customFormat="1" ht="15.6" x14ac:dyDescent="0.3">
      <c r="A75" s="37" t="str">
        <f>'Cennik enova365'!A158</f>
        <v>Pakiet Rozszerzony</v>
      </c>
      <c r="B75" s="266"/>
      <c r="C75" s="17">
        <f>VLOOKUP($A75,pakiety_BR[],2,FALSE)</f>
        <v>7190</v>
      </c>
      <c r="D75" s="17"/>
      <c r="E75" s="18" t="s">
        <v>4</v>
      </c>
      <c r="F75" s="36"/>
      <c r="G75" s="19">
        <f t="shared" si="9"/>
        <v>0</v>
      </c>
      <c r="H75" s="123">
        <f t="shared" si="8"/>
        <v>0</v>
      </c>
      <c r="J75" s="134"/>
      <c r="K75" s="134"/>
      <c r="L75" s="134"/>
    </row>
    <row r="76" spans="1:12" s="123" customFormat="1" ht="15.6" x14ac:dyDescent="0.3">
      <c r="A76" s="42" t="s">
        <v>17</v>
      </c>
      <c r="B76" s="38"/>
      <c r="C76" s="39"/>
      <c r="D76" s="39"/>
      <c r="E76" s="38"/>
      <c r="F76" s="40"/>
      <c r="G76" s="41">
        <f>IF((COUNTIF(G71:G75,"&gt;0"))&gt;1,"wybierz 1 pakiet",SUM(G71:G75))</f>
        <v>0</v>
      </c>
      <c r="H76" s="123">
        <f t="shared" si="8"/>
        <v>0</v>
      </c>
      <c r="J76" s="134"/>
      <c r="K76" s="124"/>
      <c r="L76" s="134"/>
    </row>
    <row r="77" spans="1:12" ht="15.6" x14ac:dyDescent="0.3">
      <c r="A77" s="43" t="s">
        <v>68</v>
      </c>
      <c r="B77" s="44"/>
      <c r="C77" s="44"/>
      <c r="D77" s="44"/>
      <c r="E77" s="44"/>
      <c r="F77" s="45"/>
      <c r="G77" s="46">
        <f>G21+G24+G35+G38+G65+G70+G76</f>
        <v>0</v>
      </c>
      <c r="H77" s="15">
        <f t="shared" si="1"/>
        <v>0</v>
      </c>
    </row>
    <row r="78" spans="1:12" ht="15.6" x14ac:dyDescent="0.3">
      <c r="A78" s="47"/>
      <c r="B78" s="18" t="s">
        <v>18</v>
      </c>
      <c r="C78" s="113">
        <v>0</v>
      </c>
      <c r="D78" s="114"/>
      <c r="E78" s="18" t="s">
        <v>4</v>
      </c>
      <c r="F78" s="115"/>
      <c r="G78" s="116">
        <f>IF(E78="TAK",(G77-G76)*C78,0)</f>
        <v>0</v>
      </c>
      <c r="H78" s="15">
        <f t="shared" si="1"/>
        <v>0</v>
      </c>
    </row>
    <row r="79" spans="1:12" ht="15.6" x14ac:dyDescent="0.3">
      <c r="A79" s="48"/>
      <c r="B79" s="193" t="s">
        <v>19</v>
      </c>
      <c r="C79" s="194"/>
      <c r="D79" s="194"/>
      <c r="E79" s="194"/>
      <c r="F79" s="194"/>
      <c r="G79" s="186">
        <f>G78</f>
        <v>0</v>
      </c>
      <c r="H79" s="15">
        <f t="shared" si="1"/>
        <v>0</v>
      </c>
    </row>
    <row r="80" spans="1:12" ht="15.6" x14ac:dyDescent="0.3">
      <c r="A80" s="258" t="s">
        <v>233</v>
      </c>
      <c r="B80" s="259"/>
      <c r="C80" s="260"/>
      <c r="D80" s="31"/>
      <c r="E80" s="132" t="s">
        <v>34</v>
      </c>
      <c r="F80" s="133"/>
      <c r="G80" s="24"/>
      <c r="H80" s="15">
        <f t="shared" si="1"/>
        <v>0</v>
      </c>
    </row>
    <row r="81" spans="1:10" ht="19.5" customHeight="1" x14ac:dyDescent="0.3">
      <c r="A81" s="37" t="s">
        <v>139</v>
      </c>
      <c r="B81" s="250" t="s">
        <v>4</v>
      </c>
      <c r="C81" s="142" t="b">
        <f>IF(E81="5 000 stron rocznie",'Cennik enova365'!B161,IF(E81="10 000 stron rocznie",'Cennik enova365'!B162,IF(E81="15 000 stron rocznie",'Cennik enova365'!B163,IF(E81="20 000 stron rocznie",'Cennik enova365'!B164,IF(E81="25 000 stron rocznie",'Cennik enova365'!B165,IF(E81="30 000 stron rocznie",'Cennik enova365'!B166,IF(E81="35 000 stron rocznie",'Cennik enova365'!B167,IF(E81="40 000 stron rocznie",'Cennik enova365'!B168,IF(E81="45 000 stron rocznie",'Cennik enova365'!B169,IF(E81="50 000 stron rocznie",'Cennik enova365'!B170,IF(E81="55 000 stron rocznie",'Cennik enova365'!B171,IF(E81="60 000 stron rocznie",'Cennik enova365'!B172,IF(E81="powyżej 60 000 stron rocznie",'Cennik enova365'!B173)))))))))))))</f>
        <v>0</v>
      </c>
      <c r="D81" t="s">
        <v>218</v>
      </c>
      <c r="E81" t="s">
        <v>139</v>
      </c>
      <c r="G81" s="153">
        <f>IF(B81="TAK",C81,0)</f>
        <v>0</v>
      </c>
      <c r="H81" s="49">
        <f t="shared" si="1"/>
        <v>0</v>
      </c>
      <c r="J81" s="249" t="str">
        <f>IF(B81="TAK","Licencję należy odnowić po roku"," ")</f>
        <v xml:space="preserve"> </v>
      </c>
    </row>
    <row r="82" spans="1:10" ht="15.6" x14ac:dyDescent="0.3">
      <c r="A82" s="42" t="s">
        <v>220</v>
      </c>
      <c r="B82" s="38"/>
      <c r="C82" s="39"/>
      <c r="D82" s="39"/>
      <c r="E82" s="38"/>
      <c r="F82" s="40"/>
      <c r="G82" s="41">
        <f>SUM(G81:G81)</f>
        <v>0</v>
      </c>
      <c r="H82" s="15">
        <f t="shared" si="1"/>
        <v>0</v>
      </c>
    </row>
    <row r="83" spans="1:10" ht="15.6" x14ac:dyDescent="0.3">
      <c r="A83" s="76" t="s">
        <v>20</v>
      </c>
      <c r="B83" s="80"/>
      <c r="C83" s="80"/>
      <c r="D83" s="80"/>
      <c r="E83" s="80"/>
      <c r="F83" s="81"/>
      <c r="G83" s="79">
        <f>G77-G79</f>
        <v>0</v>
      </c>
      <c r="H83" s="15">
        <f t="shared" si="1"/>
        <v>0</v>
      </c>
    </row>
    <row r="84" spans="1:10" ht="15.6" x14ac:dyDescent="0.3">
      <c r="A84" s="76" t="s">
        <v>21</v>
      </c>
      <c r="B84" s="77"/>
      <c r="C84" s="77"/>
      <c r="D84" s="77"/>
      <c r="E84" s="77"/>
      <c r="F84" s="78"/>
      <c r="G84" s="79">
        <f>G83*1.23</f>
        <v>0</v>
      </c>
      <c r="H84" s="15">
        <f t="shared" si="1"/>
        <v>0</v>
      </c>
    </row>
    <row r="85" spans="1:10" ht="15.6" x14ac:dyDescent="0.3">
      <c r="A85" s="277" t="s">
        <v>140</v>
      </c>
      <c r="B85" s="278"/>
      <c r="C85" s="278"/>
      <c r="D85" s="278"/>
      <c r="E85" s="278"/>
      <c r="F85" s="279"/>
      <c r="G85" s="147">
        <f>(G77-G76)*'Cennik enova365'!$K$43+IFERROR((VLOOKUP(G76,pakiety_BR_AKT,2,FALSE)*'Cennik enova365'!$K$43),0)</f>
        <v>0</v>
      </c>
      <c r="H85" s="15">
        <f t="shared" si="1"/>
        <v>0</v>
      </c>
    </row>
    <row r="86" spans="1:10" x14ac:dyDescent="0.3">
      <c r="A86" s="49" t="s">
        <v>81</v>
      </c>
      <c r="B86" s="15"/>
      <c r="C86" s="50"/>
      <c r="D86" s="15"/>
      <c r="E86" s="15"/>
      <c r="F86" s="15"/>
      <c r="G86" s="15"/>
      <c r="H86" s="15">
        <v>1</v>
      </c>
    </row>
    <row r="87" spans="1:10" x14ac:dyDescent="0.3">
      <c r="A87" s="49" t="s">
        <v>82</v>
      </c>
      <c r="B87" s="15"/>
      <c r="C87" s="50"/>
      <c r="D87" s="15"/>
      <c r="E87" s="15"/>
      <c r="F87" s="15"/>
      <c r="G87" s="15"/>
      <c r="H87" s="15">
        <v>1</v>
      </c>
    </row>
    <row r="88" spans="1:10" x14ac:dyDescent="0.3">
      <c r="A88" s="51" t="s">
        <v>83</v>
      </c>
      <c r="B88" s="62"/>
      <c r="C88" s="52"/>
      <c r="D88" s="15"/>
      <c r="E88" s="15"/>
      <c r="F88" s="15"/>
      <c r="G88" s="15"/>
      <c r="H88" s="15">
        <v>1</v>
      </c>
    </row>
  </sheetData>
  <autoFilter ref="H1:H99" xr:uid="{00000000-0009-0000-0000-000001000000}"/>
  <dataConsolidate/>
  <mergeCells count="39">
    <mergeCell ref="A57:C57"/>
    <mergeCell ref="A58:C58"/>
    <mergeCell ref="A51:C51"/>
    <mergeCell ref="A52:C52"/>
    <mergeCell ref="A53:C53"/>
    <mergeCell ref="A54:C54"/>
    <mergeCell ref="A55:C55"/>
    <mergeCell ref="A44:C44"/>
    <mergeCell ref="A45:C45"/>
    <mergeCell ref="A46:C46"/>
    <mergeCell ref="A50:C50"/>
    <mergeCell ref="A56:C56"/>
    <mergeCell ref="A48:C48"/>
    <mergeCell ref="A47:C47"/>
    <mergeCell ref="A49:C49"/>
    <mergeCell ref="A2:C2"/>
    <mergeCell ref="A22:C22"/>
    <mergeCell ref="A25:C25"/>
    <mergeCell ref="A21:B21"/>
    <mergeCell ref="A43:C43"/>
    <mergeCell ref="A32:B32"/>
    <mergeCell ref="A35:B35"/>
    <mergeCell ref="A40:C40"/>
    <mergeCell ref="A41:C41"/>
    <mergeCell ref="A42:C42"/>
    <mergeCell ref="A33:C33"/>
    <mergeCell ref="A39:C39"/>
    <mergeCell ref="A38:B38"/>
    <mergeCell ref="A85:F85"/>
    <mergeCell ref="A64:C64"/>
    <mergeCell ref="B71:B75"/>
    <mergeCell ref="A59:C59"/>
    <mergeCell ref="A60:C60"/>
    <mergeCell ref="A61:C61"/>
    <mergeCell ref="A62:C62"/>
    <mergeCell ref="A80:C80"/>
    <mergeCell ref="A66:C66"/>
    <mergeCell ref="A65:C65"/>
    <mergeCell ref="A63:C63"/>
  </mergeCells>
  <dataValidations xWindow="559" yWindow="830" count="17">
    <dataValidation allowBlank="1" showInputMessage="1" showErrorMessage="1" prompt="wpisz wartość rabatu" sqref="C78" xr:uid="{00000000-0002-0000-0100-000000000000}"/>
    <dataValidation allowBlank="1" showInputMessage="1" showErrorMessage="1" prompt="wpisz liczbę baz" sqref="E34" xr:uid="{00000000-0002-0000-0100-000001000000}"/>
    <dataValidation allowBlank="1" showInputMessage="1" showErrorMessage="1" prompt="wpisz maksymalną liczbę kierowników z największej bazy,_x000a_PRZYKŁAD:_x000a_P.Kierownika będzie użytkowny w 2 bazach:_x000a_w 1. - 5 dostępów, w 2. - 3 dostępy_x000a_zatem wpisujemy 5" sqref="E27" xr:uid="{00000000-0002-0000-0100-000002000000}"/>
    <dataValidation allowBlank="1" showErrorMessage="1" prompt="wpisz maksymalną liczbę stanowisk z największej bazy,_x000a_PRZYKŁAD:_x000a_Pulpit Kierownika będzie użytkowny w 3 bazach:_x000a_w 1. - 5 dostępów_x000a_w 2. - 3 dostepy_x000a_w 3. - 9 dostępów_x000a_w polu wpisujemy 9" sqref="F27" xr:uid="{00000000-0002-0000-0100-000003000000}"/>
    <dataValidation allowBlank="1" showErrorMessage="1" prompt="wpisz liczbę baz" sqref="F34" xr:uid="{00000000-0002-0000-0100-000004000000}"/>
    <dataValidation allowBlank="1" showErrorMessage="1" sqref="F68:F69 F37" xr:uid="{00000000-0002-0000-0100-000005000000}"/>
    <dataValidation allowBlank="1" showErrorMessage="1" prompt="zaznacz odpowiednią opcję" sqref="E64:F64 F78 F41:F45 F50:F63" xr:uid="{00000000-0002-0000-0100-000006000000}"/>
    <dataValidation allowBlank="1" showErrorMessage="1" prompt="wpisz wartość rabatu" sqref="D78" xr:uid="{00000000-0002-0000-0100-000007000000}"/>
    <dataValidation allowBlank="1" showInputMessage="1" showErrorMessage="1" prompt="można dokupić jeżeli na licencji jest już min. jedno stanowsiko dowolnego modułu samodzielnego min. w wersji srebrnej (patrz powyżej zaznaczone na zielono)" sqref="E7" xr:uid="{00000000-0002-0000-0100-000008000000}"/>
    <dataValidation allowBlank="1" showInputMessage="1" showErrorMessage="1" prompt="wymaga min. jednego modułu pozwalającego_x000a_generować dokumenty sprzedaży (generujące_x000a_należności – Faktury, Księga Podatkowa_x000a_oraz Księga Handlowa)" sqref="E8" xr:uid="{00000000-0002-0000-0100-000009000000}"/>
    <dataValidation allowBlank="1" showInputMessage="1" showErrorMessage="1" prompt="wymaga: Ewidencji Środków pieniężnych, dowolny moduł samodzielny min. w wersji srebrnej (patrz powyżej zaznaczone na zielono)" sqref="E18" xr:uid="{00000000-0002-0000-0100-00000A000000}"/>
    <dataValidation allowBlank="1" showInputMessage="1" showErrorMessage="1" promptTitle="Wartość wyliczy się samodzielnie" prompt="pamiętaj, że cena jest zależna od łącznej liczby stanowisk modułów podstawowych, wprowadź je wszystkie" sqref="B23" xr:uid="{00000000-0002-0000-0100-00000B000000}"/>
    <dataValidation type="list" allowBlank="1" showInputMessage="1" showErrorMessage="1" sqref="B37" xr:uid="{00000000-0002-0000-0100-00000C000000}">
      <formula1>"TAK,NIE"</formula1>
    </dataValidation>
    <dataValidation allowBlank="1" showInputMessage="1" showErrorMessage="1" prompt="Pulpit Klienta Biura Rachunkowego dostępny jest TYLKO w abonamencie miesięcznym lub rocznym" sqref="A37" xr:uid="{00000000-0002-0000-0100-00000D000000}"/>
    <dataValidation allowBlank="1" showInputMessage="1" showErrorMessage="1" prompt="wpisz liczbę stanowisk" sqref="E3" xr:uid="{607140B0-7A3B-4EA8-83F6-8C13BE312BE5}"/>
    <dataValidation allowBlank="1" showInputMessage="1" showErrorMessage="1" prompt="na licencji musi być inny, dowolny moduł, którego działanie chcemy oprocesować" sqref="E14" xr:uid="{6ECD0EE1-AF2B-484C-A49D-8554179F0C65}"/>
    <dataValidation allowBlank="1" showInputMessage="1" showErrorMessage="1" prompt="dowolny moduł, który chcemy &quot;poglądać&quot;" sqref="E17" xr:uid="{2058A0D6-67CD-49E2-9D3E-1229A7043F34}"/>
  </dataValidations>
  <hyperlinks>
    <hyperlink ref="B71" r:id="rId1" display="https://www.enova.pl/aktualnosci/pakiety-dla-biur-rachunkowych/" xr:uid="{00000000-0004-0000-0100-000000000000}"/>
  </hyperlinks>
  <pageMargins left="0.7" right="0.7" top="0.75" bottom="0.75" header="0.3" footer="0.3"/>
  <pageSetup paperSize="9" orientation="portrait" r:id="rId2"/>
  <ignoredErrors>
    <ignoredError sqref="H67 G18:G19 G22 G27 G16 H31:H32 H22:H28" formula="1"/>
    <ignoredError sqref="D26 D28 D27" twoDigitTextYear="1"/>
  </ignoredErrors>
  <extLst>
    <ext xmlns:x14="http://schemas.microsoft.com/office/spreadsheetml/2009/9/main" uri="{CCE6A557-97BC-4b89-ADB6-D9C93CAAB3DF}">
      <x14:dataValidations xmlns:xm="http://schemas.microsoft.com/office/excel/2006/main" xWindow="559" yWindow="830" count="30">
        <x14:dataValidation type="list" allowBlank="1" showInputMessage="1" showErrorMessage="1" xr:uid="{00000000-0002-0000-0100-00000F000000}">
          <x14:formula1>
            <xm:f>'Cennik enova365'!$K$13:$K$14</xm:f>
          </x14:formula1>
          <xm:sqref>E78 B34 B68:B69</xm:sqref>
        </x14:dataValidation>
        <x14:dataValidation type="list" allowBlank="1" showInputMessage="1" showErrorMessage="1" prompt="wybierz wersję" xr:uid="{00000000-0002-0000-0100-000010000000}">
          <x14:formula1>
            <xm:f>'Cennik enova365'!$K$2:$K$4</xm:f>
          </x14:formula1>
          <xm:sqref>B3 B6:B7 B9:B10 B17</xm:sqref>
        </x14:dataValidation>
        <x14:dataValidation type="list" allowBlank="1" showInputMessage="1" showErrorMessage="1" prompt="wybierz wersję" xr:uid="{00000000-0002-0000-0100-000011000000}">
          <x14:formula1>
            <xm:f>'Cennik enova365'!$L$2:$L$3</xm:f>
          </x14:formula1>
          <xm:sqref>B4</xm:sqref>
        </x14:dataValidation>
        <x14:dataValidation type="list" allowBlank="1" showInputMessage="1" showErrorMessage="1" prompt="wybierz wersję" xr:uid="{00000000-0002-0000-0100-000012000000}">
          <x14:formula1>
            <xm:f>'Cennik enova365'!$K$3:$K$4</xm:f>
          </x14:formula1>
          <xm:sqref>B5 B8 B18:B20 B11:B15</xm:sqref>
        </x14:dataValidation>
        <x14:dataValidation type="list" allowBlank="1" showInputMessage="1" showErrorMessage="1" xr:uid="{00000000-0002-0000-0100-000013000000}">
          <x14:formula1>
            <xm:f>'Cennik enova365'!$K$17:$K$21</xm:f>
          </x14:formula1>
          <xm:sqref>E68</xm:sqref>
        </x14:dataValidation>
        <x14:dataValidation type="list" allowBlank="1" showInputMessage="1" showErrorMessage="1" prompt="wskaż przedział (ilu klientów biura ma korzystać z tego Pulpitu)" xr:uid="{00000000-0002-0000-0100-000014000000}">
          <x14:formula1>
            <xm:f>'Cennik enova365'!$A$115:$A$119</xm:f>
          </x14:formula1>
          <xm:sqref>E37</xm:sqref>
        </x14:dataValidation>
        <x14:dataValidation type="list" allowBlank="1" showInputMessage="1" showErrorMessage="1" prompt="wymaga:_x000a_Faktury min. srebrne_x000a_lub Handel min. srebrny" xr:uid="{00000000-0002-0000-0100-000017000000}">
          <x14:formula1>
            <xm:f>'Cennik enova365'!$K$13:$K$14</xm:f>
          </x14:formula1>
          <xm:sqref>E58</xm:sqref>
        </x14:dataValidation>
        <x14:dataValidation type="list" allowBlank="1" showInputMessage="1" showErrorMessage="1" prompt="dowolny moduł min. w wersji srebrnej" xr:uid="{00000000-0002-0000-0100-000018000000}">
          <x14:formula1>
            <xm:f>'Cennik enova365'!$K$13:$K$14</xm:f>
          </x14:formula1>
          <xm:sqref>E57</xm:sqref>
        </x14:dataValidation>
        <x14:dataValidation type="list" allowBlank="1" showInputMessage="1" showErrorMessage="1" prompt="wymaga:_x000a_Faktury min. srebrne_x000a_lub Handel min. srebrny_x000a_" xr:uid="{00000000-0002-0000-0100-000019000000}">
          <x14:formula1>
            <xm:f>'Cennik enova365'!$K$13:$K$14</xm:f>
          </x14:formula1>
          <xm:sqref>E56</xm:sqref>
        </x14:dataValidation>
        <x14:dataValidation type="list" allowBlank="1" showInputMessage="1" showErrorMessage="1" prompt="wymaga min. po 1 stanowisku modułów Kadry Płace w wariacie złotym lub platynowym oraz Handel w wariacie złotym lub platynowym" xr:uid="{00000000-0002-0000-0100-00001B000000}">
          <x14:formula1>
            <xm:f>'Cennik enova365'!$K$13:$K$14</xm:f>
          </x14:formula1>
          <xm:sqref>E46</xm:sqref>
        </x14:dataValidation>
        <x14:dataValidation type="list" allowBlank="1" showInputMessage="1" showErrorMessage="1" prompt="wymaga min. 1 stanowiska modułu CRM w wariancie złotym lub platynowym lub Projekty w wariancie złotym lub platynowym" xr:uid="{00000000-0002-0000-0100-00001C000000}">
          <x14:formula1>
            <xm:f>'Cennik enova365'!$K$13:$K$14</xm:f>
          </x14:formula1>
          <xm:sqref>E61</xm:sqref>
        </x14:dataValidation>
        <x14:dataValidation type="list" allowBlank="1" showInputMessage="1" showErrorMessage="1" prompt="dowolny moduł min. w wersji złotej_x000a_(przynajmniej jedno, dowolne stanowsiko w ramach licencji Klienta musi być złote)" xr:uid="{00000000-0002-0000-0100-00001D000000}">
          <x14:formula1>
            <xm:f>'Cennik enova365'!$K$13:$K$14</xm:f>
          </x14:formula1>
          <xm:sqref>E60 E62:E63</xm:sqref>
        </x14:dataValidation>
        <x14:dataValidation type="list" allowBlank="1" showInputMessage="1" showErrorMessage="1" prompt="wybierz przedział" xr:uid="{00000000-0002-0000-0100-00001E000000}">
          <x14:formula1>
            <xm:f>'Cennik enova365'!$A$89:$A$94</xm:f>
          </x14:formula1>
          <xm:sqref>E26</xm:sqref>
        </x14:dataValidation>
        <x14:dataValidation type="list" allowBlank="1" showInputMessage="1" showErrorMessage="1" prompt="dowolny moduł min. w wersji złotej_x000a_(przynajmniej jedno, dowolne stanowsiko w ramach licencji Klienta musi być multi)" xr:uid="{00000000-0002-0000-0100-00001F000000}">
          <x14:formula1>
            <xm:f>'Cennik enova365'!$K$13:$K$14</xm:f>
          </x14:formula1>
          <xm:sqref>E59</xm:sqref>
        </x14:dataValidation>
        <x14:dataValidation type="list" allowBlank="1" showInputMessage="1" showErrorMessage="1" prompt="pakietów nie można łączyć, klient może kupić tylko jeden pakiet" xr:uid="{00000000-0002-0000-0100-000020000000}">
          <x14:formula1>
            <xm:f>'Cennik enova365'!$K$13:$K$14</xm:f>
          </x14:formula1>
          <xm:sqref>E71:E75</xm:sqref>
        </x14:dataValidation>
        <x14:dataValidation type="list" allowBlank="1" showInputMessage="1" showErrorMessage="1" prompt="wybierz przedział" xr:uid="{00000000-0002-0000-0100-000021000000}">
          <x14:formula1>
            <xm:f>'Cennik enova365'!$A$107:$A$112</xm:f>
          </x14:formula1>
          <xm:sqref>E28:E30</xm:sqref>
        </x14:dataValidation>
        <x14:dataValidation type="list"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xr:uid="{00000000-0002-0000-0100-000022000000}">
          <x14:formula1>
            <xm:f>'Cennik enova365'!$K$13:$K$14</xm:f>
          </x14:formula1>
          <xm:sqref>E23</xm:sqref>
        </x14:dataValidation>
        <x14:dataValidation type="list" allowBlank="1" showInputMessage="1" showErrorMessage="1" prompt="wymagany Pulpit Pracownika" xr:uid="{00000000-0002-0000-0100-000023000000}">
          <x14:formula1>
            <xm:f>'Cennik enova365'!$K$13:$K$14</xm:f>
          </x14:formula1>
          <xm:sqref>B31</xm:sqref>
        </x14:dataValidation>
        <x14:dataValidation type="list" allowBlank="1" showInputMessage="1" showErrorMessage="1" prompt="wymaga min. 1 stanowiska modułu Kadry Płace w wariacie złotym lub platynowym" xr:uid="{00000000-0002-0000-0100-000024000000}">
          <x14:formula1>
            <xm:f>'Cennik enova365'!$K$13:$K$14</xm:f>
          </x14:formula1>
          <xm:sqref>B26 E40:E45 E47:E49</xm:sqref>
        </x14:dataValidation>
        <x14:dataValidation type="list" allowBlank="1" showInputMessage="1" showErrorMessage="1" prompt="wymaga min. 1 stanowiska modułu Workflow w wariacie platynowym oraz innego Pulpitu" xr:uid="{00000000-0002-0000-0100-000025000000}">
          <x14:formula1>
            <xm:f>'Cennik enova365'!$K$13:$K$14</xm:f>
          </x14:formula1>
          <xm:sqref>B28</xm:sqref>
        </x14:dataValidation>
        <x14:dataValidation type="list" allowBlank="1" showInputMessage="1" showErrorMessage="1" prompt="wymaga: Ewidencji Środków pieniężnych, dowolny moduł samodzielny min. w wersji srebrnej (patrz powyżej zaznaczone na zielono)" xr:uid="{00000000-0002-0000-0100-000026000000}">
          <x14:formula1>
            <xm:f>'Cennik enova365'!$K$13:$K$14</xm:f>
          </x14:formula1>
          <xm:sqref>E52:E53</xm:sqref>
        </x14:dataValidation>
        <x14:dataValidation type="list" allowBlank="1" showInputMessage="1" showErrorMessage="1" prompt="wymaga BI w wersji złotej lub platynowej oraz innego Pulpitu" xr:uid="{00000000-0002-0000-0100-000027000000}">
          <x14:formula1>
            <xm:f>'Cennik enova365'!$K$13:$K$14</xm:f>
          </x14:formula1>
          <xm:sqref>B29</xm:sqref>
        </x14:dataValidation>
        <x14:dataValidation type="list" allowBlank="1" showInputMessage="1" showErrorMessage="1" prompt="wymaga min. po 1 stanowisku modułów Praca Hybrydowa w wariacie złotym lub platynowym, Kadry Płace w wariacie złotym lub platynowym oraz Pulpitu Pracownika" xr:uid="{00000000-0002-0000-0100-000028000000}">
          <x14:formula1>
            <xm:f>'Cennik enova365'!$K$13:$K$14</xm:f>
          </x14:formula1>
          <xm:sqref>B30</xm:sqref>
        </x14:dataValidation>
        <x14:dataValidation type="list" allowBlank="1" showInputMessage="1" showErrorMessage="1" prompt="Wybierz wersję._x000a_W wersji rozszerzonej wymaga min. 1 stanowiska modułu Faktury od wersji srebrnej na licencji BR." xr:uid="{00000000-0002-0000-0100-000029000000}">
          <x14:formula1>
            <xm:f>'Cennik enova365'!$B$114:$C$114</xm:f>
          </x14:formula1>
          <xm:sqref>C37</xm:sqref>
        </x14:dataValidation>
        <x14:dataValidation type="list" allowBlank="1" showInputMessage="1" showErrorMessage="1" xr:uid="{00000000-0002-0000-0100-00002A000000}">
          <x14:formula1>
            <xm:f>'Cennik enova365'!$K$26:$K$36</xm:f>
          </x14:formula1>
          <xm:sqref>E69</xm:sqref>
        </x14:dataValidation>
        <x14:dataValidation type="list" allowBlank="1" showInputMessage="1" showErrorMessage="1" prompt="abonament roczny, wybierz przedział " xr:uid="{00000000-0002-0000-0100-00002C000000}">
          <x14:formula1>
            <xm:f>'Cennik enova365'!$K$13:$K$14</xm:f>
          </x14:formula1>
          <xm:sqref>B81</xm:sqref>
        </x14:dataValidation>
        <x14:dataValidation type="list" allowBlank="1" showInputMessage="1" showErrorMessage="1" prompt="wymaga Pulpitu Pracownika oraz min. 1 stanowiska modułu Kadry Płace w wariacie złotym lub platynowym" xr:uid="{C4F4CFC2-B302-4C6F-89B6-322A8255D469}">
          <x14:formula1>
            <xm:f>'Cennik enova365'!$K$13:$K$14</xm:f>
          </x14:formula1>
          <xm:sqref>B27</xm:sqref>
        </x14:dataValidation>
        <x14:dataValidation type="list" allowBlank="1" showInputMessage="1" showErrorMessage="1" prompt="wymaga min. 1 stanowiska modułu Księga Handlowa w wariancie złotym lub platynowym" xr:uid="{ABE4EE61-5B2B-43AB-A3F9-70708262B91F}">
          <x14:formula1>
            <xm:f>'Cennik enova365'!$K$13:$K$14</xm:f>
          </x14:formula1>
          <xm:sqref>E50:E51</xm:sqref>
        </x14:dataValidation>
        <x14:dataValidation type="list" allowBlank="1" showInputMessage="1" showErrorMessage="1" prompt="wymaga min. 1 stanowiska modułu Księga Handlowa w wariancie min. złotym lub Księga Podatkowa_x000a__x000a_" xr:uid="{2BF1EC6E-847D-4BED-8E60-DFDD40E18DB6}">
          <x14:formula1>
            <xm:f>'Cennik enova365'!$K$13:$K$14</xm:f>
          </x14:formula1>
          <xm:sqref>E54:E55</xm:sqref>
        </x14:dataValidation>
        <x14:dataValidation type="list" allowBlank="1" showInputMessage="1" showErrorMessage="1" prompt="abonament roczny, wybierz przedział" xr:uid="{00000000-0002-0000-0100-00002B000000}">
          <x14:formula1>
            <xm:f>'Cennik enova365'!$A$161:$A$173</xm:f>
          </x14:formula1>
          <xm:sqref>E81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9"/>
  <sheetViews>
    <sheetView zoomScale="80" zoomScaleNormal="80" workbookViewId="0">
      <selection activeCell="E43" sqref="E43"/>
    </sheetView>
  </sheetViews>
  <sheetFormatPr defaultColWidth="9.109375" defaultRowHeight="14.4" x14ac:dyDescent="0.3"/>
  <cols>
    <col min="1" max="1" width="51.33203125" customWidth="1"/>
    <col min="2" max="2" width="24.109375" customWidth="1"/>
    <col min="3" max="3" width="23" customWidth="1"/>
    <col min="4" max="4" width="23.5546875" customWidth="1"/>
    <col min="5" max="5" width="19" customWidth="1"/>
    <col min="6" max="6" width="11.109375" customWidth="1"/>
    <col min="7" max="7" width="23.88671875" customWidth="1"/>
    <col min="8" max="8" width="11.44140625" customWidth="1"/>
    <col min="10" max="10" width="113" bestFit="1" customWidth="1"/>
    <col min="11" max="11" width="12.6640625" customWidth="1"/>
    <col min="12" max="12" width="9.109375" hidden="1" customWidth="1"/>
    <col min="13" max="14" width="2" hidden="1" customWidth="1"/>
    <col min="15" max="15" width="9.109375" hidden="1" customWidth="1"/>
    <col min="16" max="17" width="9.109375" customWidth="1"/>
  </cols>
  <sheetData>
    <row r="1" spans="1:13" ht="78" x14ac:dyDescent="0.3">
      <c r="A1" s="6" t="s">
        <v>11</v>
      </c>
      <c r="B1" s="7" t="s">
        <v>57</v>
      </c>
      <c r="C1" s="8" t="s">
        <v>84</v>
      </c>
      <c r="D1" s="8" t="s">
        <v>85</v>
      </c>
      <c r="E1" s="9" t="s">
        <v>153</v>
      </c>
      <c r="F1" s="198" t="s">
        <v>86</v>
      </c>
      <c r="G1" s="10" t="s">
        <v>13</v>
      </c>
      <c r="H1" s="104" t="s">
        <v>25</v>
      </c>
      <c r="J1" s="202" t="s">
        <v>155</v>
      </c>
    </row>
    <row r="2" spans="1:13" ht="15.6" x14ac:dyDescent="0.3">
      <c r="A2" s="270" t="s">
        <v>158</v>
      </c>
      <c r="B2" s="271"/>
      <c r="C2" s="272"/>
      <c r="D2" s="63"/>
      <c r="E2" s="63"/>
      <c r="F2" s="63"/>
      <c r="G2" s="64"/>
      <c r="H2" s="15">
        <f>IF(G21&gt;0,1,0)</f>
        <v>0</v>
      </c>
    </row>
    <row r="3" spans="1:13" ht="15.6" x14ac:dyDescent="0.3">
      <c r="A3" s="200" t="s">
        <v>130</v>
      </c>
      <c r="B3" s="18" t="s">
        <v>5</v>
      </c>
      <c r="C3" s="17">
        <f>VLOOKUP($A3,moduly_podstawowe_BR[],6,FALSE)</f>
        <v>9480</v>
      </c>
      <c r="D3" s="17">
        <f>VLOOKUP($A3,moduly_podstawowe_BR[],7,FALSE)</f>
        <v>9950</v>
      </c>
      <c r="E3" s="18">
        <v>0</v>
      </c>
      <c r="F3" s="18">
        <v>0</v>
      </c>
      <c r="G3" s="19">
        <f t="shared" ref="G3:G15" si="0">IF(F3=0,C3*E3,IF(OR(AND(E3=0,F3&lt;&gt;0),F3&gt;E3),"błąd",((E3-F3)*C3)+(D3*F3)))</f>
        <v>0</v>
      </c>
      <c r="H3" s="15">
        <f>IF(G3&gt;0,1,0)</f>
        <v>0</v>
      </c>
    </row>
    <row r="4" spans="1:13" ht="15.6" customHeight="1" x14ac:dyDescent="0.3">
      <c r="A4" s="200" t="s">
        <v>131</v>
      </c>
      <c r="B4" s="18" t="s">
        <v>5</v>
      </c>
      <c r="C4" s="17">
        <f>VLOOKUP($A4,moduly_podstawowe_BR[],6,FALSE)</f>
        <v>1830</v>
      </c>
      <c r="D4" s="17">
        <f>VLOOKUP($A4,moduly_podstawowe_BR[],7,FALSE)</f>
        <v>1930</v>
      </c>
      <c r="E4" s="18">
        <v>0</v>
      </c>
      <c r="F4" s="18">
        <v>0</v>
      </c>
      <c r="G4" s="19">
        <f t="shared" si="0"/>
        <v>0</v>
      </c>
      <c r="H4" s="15">
        <f t="shared" ref="H4:H86" si="1">IF(G4&gt;0,1,0)</f>
        <v>0</v>
      </c>
      <c r="J4" s="202"/>
      <c r="K4" s="202"/>
      <c r="L4" s="202"/>
      <c r="M4" s="202"/>
    </row>
    <row r="5" spans="1:13" ht="15.6" x14ac:dyDescent="0.3">
      <c r="A5" s="200" t="s">
        <v>132</v>
      </c>
      <c r="B5" s="18" t="s">
        <v>5</v>
      </c>
      <c r="C5" s="17">
        <f>VLOOKUP($A5,moduly_podstawowe_BR[],6,FALSE)</f>
        <v>8630</v>
      </c>
      <c r="D5" s="17">
        <f>VLOOKUP($A5,moduly_podstawowe_BR[],7,FALSE)</f>
        <v>9060</v>
      </c>
      <c r="E5" s="18">
        <v>0</v>
      </c>
      <c r="F5" s="18">
        <v>0</v>
      </c>
      <c r="G5" s="19">
        <f t="shared" si="0"/>
        <v>0</v>
      </c>
      <c r="H5" s="15">
        <f t="shared" si="1"/>
        <v>0</v>
      </c>
      <c r="J5" s="202"/>
      <c r="K5" s="202"/>
      <c r="L5" s="202"/>
      <c r="M5" s="202"/>
    </row>
    <row r="6" spans="1:13" ht="15.6" x14ac:dyDescent="0.3">
      <c r="A6" s="200" t="s">
        <v>133</v>
      </c>
      <c r="B6" s="18" t="s">
        <v>5</v>
      </c>
      <c r="C6" s="17">
        <f>VLOOKUP($A6,moduly_podstawowe_BR[],6,FALSE)</f>
        <v>4380</v>
      </c>
      <c r="D6" s="17">
        <f>VLOOKUP($A6,moduly_podstawowe_BR[],7,FALSE)</f>
        <v>4590</v>
      </c>
      <c r="E6" s="18">
        <v>0</v>
      </c>
      <c r="F6" s="18">
        <v>0</v>
      </c>
      <c r="G6" s="19">
        <f t="shared" si="0"/>
        <v>0</v>
      </c>
      <c r="H6" s="15">
        <f t="shared" si="1"/>
        <v>0</v>
      </c>
      <c r="J6" s="207" t="str">
        <f>IF(B6="platyna"," ",IF(AND(E4+F4&gt;0,E5+F5&gt;0,B6&lt;&gt;B5),"w tej konfiguracji Ks. Inwentarzowa musi mieć taki sam kolor jak Ks. Handlowa",IF(E6+F6=0," ",IF(AND(E5+F5&gt;0,B6&lt;&gt;B5),"Ks. Inwentarzowa musi mieć taki sam kolor jak Ks. Handlowa",IF(AND(E4+F4&gt;0,E5+F5=0,B4&lt;&gt;B6),"Ks. Inwentarzowa musi mieć taki sam kolor jak Ks. Podatkowa"," ")))))</f>
        <v xml:space="preserve"> </v>
      </c>
      <c r="K6" s="202"/>
      <c r="L6" s="202"/>
      <c r="M6" s="202"/>
    </row>
    <row r="7" spans="1:13" ht="31.2" x14ac:dyDescent="0.3">
      <c r="A7" s="156" t="s">
        <v>231</v>
      </c>
      <c r="B7" s="18" t="s">
        <v>5</v>
      </c>
      <c r="C7" s="17">
        <f>VLOOKUP($A7,moduly_podstawowe_BR[],6,FALSE)</f>
        <v>715</v>
      </c>
      <c r="D7" s="17">
        <f>VLOOKUP($A7,moduly_podstawowe_BR[],7,FALSE)</f>
        <v>795</v>
      </c>
      <c r="E7" s="18">
        <v>0</v>
      </c>
      <c r="F7" s="18">
        <v>0</v>
      </c>
      <c r="G7" s="19">
        <f t="shared" si="0"/>
        <v>0</v>
      </c>
      <c r="H7" s="15">
        <f t="shared" si="1"/>
        <v>0</v>
      </c>
      <c r="J7" s="202"/>
      <c r="K7" s="202"/>
      <c r="L7" s="202"/>
      <c r="M7" s="202"/>
    </row>
    <row r="8" spans="1:13" ht="15.6" x14ac:dyDescent="0.3">
      <c r="A8" s="156" t="s">
        <v>96</v>
      </c>
      <c r="B8" s="18" t="s">
        <v>5</v>
      </c>
      <c r="C8" s="17">
        <f>VLOOKUP($A8,moduly_podstawowe_BR[],6,FALSE)</f>
        <v>1620</v>
      </c>
      <c r="D8" s="17">
        <f>VLOOKUP($A8,moduly_podstawowe_BR[],7,FALSE)</f>
        <v>1790</v>
      </c>
      <c r="E8" s="18">
        <v>0</v>
      </c>
      <c r="F8" s="18">
        <v>0</v>
      </c>
      <c r="G8" s="19">
        <f t="shared" si="0"/>
        <v>0</v>
      </c>
      <c r="H8" s="15">
        <f t="shared" si="1"/>
        <v>0</v>
      </c>
      <c r="J8" s="202"/>
      <c r="K8" s="202"/>
      <c r="L8" s="202"/>
      <c r="M8" s="202"/>
    </row>
    <row r="9" spans="1:13" ht="15.6" x14ac:dyDescent="0.3">
      <c r="A9" s="200" t="s">
        <v>107</v>
      </c>
      <c r="B9" s="18" t="s">
        <v>5</v>
      </c>
      <c r="C9" s="17">
        <f>VLOOKUP($A9,moduly_podstawowe_BR[],6,FALSE)</f>
        <v>2620</v>
      </c>
      <c r="D9" s="17">
        <f>VLOOKUP($A9,moduly_podstawowe_BR[],7,FALSE)</f>
        <v>2760</v>
      </c>
      <c r="E9" s="18">
        <v>0</v>
      </c>
      <c r="F9" s="18">
        <v>0</v>
      </c>
      <c r="G9" s="19">
        <f t="shared" si="0"/>
        <v>0</v>
      </c>
      <c r="H9" s="15">
        <f t="shared" si="1"/>
        <v>0</v>
      </c>
    </row>
    <row r="10" spans="1:13" ht="15.6" x14ac:dyDescent="0.3">
      <c r="A10" s="200" t="s">
        <v>177</v>
      </c>
      <c r="B10" s="18" t="s">
        <v>5</v>
      </c>
      <c r="C10" s="17">
        <f>VLOOKUP($A10,moduly_podstawowe_BR[],6,FALSE)</f>
        <v>4510</v>
      </c>
      <c r="D10" s="17">
        <f>VLOOKUP($A10,moduly_podstawowe_BR[],7,FALSE)</f>
        <v>4730</v>
      </c>
      <c r="E10" s="18">
        <v>0</v>
      </c>
      <c r="F10" s="18">
        <v>0</v>
      </c>
      <c r="G10" s="19">
        <f t="shared" si="0"/>
        <v>0</v>
      </c>
      <c r="H10" s="15">
        <f t="shared" si="1"/>
        <v>0</v>
      </c>
      <c r="J10" s="246" t="str">
        <f>IF(E10+F10&gt;0,"zawiera pełną funcjonalność e-mail"," ")</f>
        <v xml:space="preserve"> </v>
      </c>
    </row>
    <row r="11" spans="1:13" ht="15.6" x14ac:dyDescent="0.3">
      <c r="A11" s="200" t="s">
        <v>178</v>
      </c>
      <c r="B11" s="18" t="s">
        <v>5</v>
      </c>
      <c r="C11" s="17">
        <f>VLOOKUP($A11,moduly_podstawowe_BR[],6,FALSE)</f>
        <v>7950</v>
      </c>
      <c r="D11" s="17">
        <f>VLOOKUP($A11,moduly_podstawowe_BR[],7,FALSE)</f>
        <v>8350</v>
      </c>
      <c r="E11" s="18">
        <v>0</v>
      </c>
      <c r="F11" s="18">
        <v>0</v>
      </c>
      <c r="G11" s="19">
        <f t="shared" si="0"/>
        <v>0</v>
      </c>
      <c r="H11" s="15">
        <f t="shared" si="1"/>
        <v>0</v>
      </c>
      <c r="J11" s="256" t="str">
        <f>IF(E11+F11&gt;0,"zawiera pełną funcjonalność CRM oraz e-mail"," ")</f>
        <v xml:space="preserve"> </v>
      </c>
    </row>
    <row r="12" spans="1:13" ht="15.6" x14ac:dyDescent="0.3">
      <c r="A12" s="200" t="s">
        <v>230</v>
      </c>
      <c r="B12" s="18" t="s">
        <v>5</v>
      </c>
      <c r="C12" s="17">
        <f>VLOOKUP($A12,moduly_podstawowe_BR[],6,FALSE)</f>
        <v>8340</v>
      </c>
      <c r="D12" s="17">
        <f>VLOOKUP($A12,moduly_podstawowe_BR[],7,FALSE)</f>
        <v>9590</v>
      </c>
      <c r="E12" s="18">
        <v>0</v>
      </c>
      <c r="F12" s="18">
        <v>0</v>
      </c>
      <c r="G12" s="19">
        <f t="shared" si="0"/>
        <v>0</v>
      </c>
      <c r="H12" s="15">
        <f t="shared" si="1"/>
        <v>0</v>
      </c>
    </row>
    <row r="13" spans="1:13" ht="15.6" x14ac:dyDescent="0.3">
      <c r="A13" s="200" t="s">
        <v>236</v>
      </c>
      <c r="B13" s="18" t="s">
        <v>5</v>
      </c>
      <c r="C13" s="17">
        <f>VLOOKUP($A13,moduly_podstawowe_BR[],6,FALSE)</f>
        <v>3350</v>
      </c>
      <c r="D13" s="17">
        <f>VLOOKUP($A13,moduly_podstawowe_BR[],7,FALSE)</f>
        <v>3850</v>
      </c>
      <c r="E13" s="18">
        <v>0</v>
      </c>
      <c r="F13" s="18">
        <v>0</v>
      </c>
      <c r="G13" s="19">
        <f t="shared" si="0"/>
        <v>0</v>
      </c>
      <c r="H13" s="15">
        <f t="shared" si="1"/>
        <v>0</v>
      </c>
    </row>
    <row r="14" spans="1:13" ht="15.6" x14ac:dyDescent="0.3">
      <c r="A14" s="37" t="s">
        <v>134</v>
      </c>
      <c r="B14" s="18" t="s">
        <v>5</v>
      </c>
      <c r="C14" s="17">
        <f>VLOOKUP($A14,moduly_podstawowe_BR[],6,FALSE)</f>
        <v>805</v>
      </c>
      <c r="D14" s="17">
        <f>VLOOKUP($A14,moduly_podstawowe_BR[],7,FALSE)</f>
        <v>805</v>
      </c>
      <c r="E14" s="18">
        <v>0</v>
      </c>
      <c r="F14" s="18">
        <v>0</v>
      </c>
      <c r="G14" s="19">
        <f t="shared" si="0"/>
        <v>0</v>
      </c>
      <c r="H14" s="15">
        <f t="shared" si="1"/>
        <v>0</v>
      </c>
    </row>
    <row r="15" spans="1:13" ht="15.6" x14ac:dyDescent="0.3">
      <c r="A15" s="37" t="s">
        <v>135</v>
      </c>
      <c r="B15" s="18" t="s">
        <v>5</v>
      </c>
      <c r="C15" s="17">
        <f>VLOOKUP($A15,moduly_podstawowe_BR[],6,FALSE)</f>
        <v>645</v>
      </c>
      <c r="D15" s="17">
        <f>VLOOKUP($A15,moduly_podstawowe_BR[],7,FALSE)</f>
        <v>645</v>
      </c>
      <c r="E15" s="18">
        <v>0</v>
      </c>
      <c r="F15" s="18">
        <v>0</v>
      </c>
      <c r="G15" s="19">
        <f t="shared" si="0"/>
        <v>0</v>
      </c>
      <c r="H15" s="15">
        <f t="shared" si="1"/>
        <v>0</v>
      </c>
      <c r="K15" s="142"/>
    </row>
    <row r="16" spans="1:13" ht="15.6" x14ac:dyDescent="0.3">
      <c r="A16" s="37" t="s">
        <v>136</v>
      </c>
      <c r="B16" s="17"/>
      <c r="C16" s="17">
        <f>VLOOKUP($A16,moduly_podstawowe_BR[],6,FALSE)</f>
        <v>3980</v>
      </c>
      <c r="D16" s="17"/>
      <c r="E16" s="17"/>
      <c r="F16" s="17"/>
      <c r="G16" s="19">
        <f>IF(OR((AND(B14="platyna",E14&gt;0)),E15&gt;0),C16,0)</f>
        <v>0</v>
      </c>
      <c r="H16" s="15">
        <f t="shared" si="1"/>
        <v>0</v>
      </c>
      <c r="K16" s="142"/>
    </row>
    <row r="17" spans="1:12" ht="15.6" x14ac:dyDescent="0.3">
      <c r="A17" s="37" t="s">
        <v>179</v>
      </c>
      <c r="B17" s="18" t="s">
        <v>5</v>
      </c>
      <c r="C17" s="17">
        <f>VLOOKUP($A17,moduly_podstawowe_BR[],6,FALSE)</f>
        <v>2650</v>
      </c>
      <c r="D17" s="17">
        <f>VLOOKUP($A17,moduly_podstawowe_BR[],7,FALSE)</f>
        <v>2780</v>
      </c>
      <c r="E17" s="18">
        <v>0</v>
      </c>
      <c r="F17" s="18">
        <v>0</v>
      </c>
      <c r="G17" s="19">
        <f>IF(F17=0,C17*E17,IF(OR(AND(E17=0,F17&lt;&gt;0),F17&gt;E17),"błąd",((E17-F17)*C17)+(D17*F17)))</f>
        <v>0</v>
      </c>
      <c r="H17" s="15">
        <f t="shared" si="1"/>
        <v>0</v>
      </c>
      <c r="J17" s="237" t="str">
        <f>IF(F17&gt;0,"jeżeli planujemy korzystać z Poglądu multi to na licencji musi być min. 1 st. multi w ramach poglądanego modułu"," ")</f>
        <v xml:space="preserve"> </v>
      </c>
      <c r="K17" s="142"/>
    </row>
    <row r="18" spans="1:12" ht="15.6" x14ac:dyDescent="0.3">
      <c r="A18" s="37" t="s">
        <v>137</v>
      </c>
      <c r="B18" s="18" t="s">
        <v>5</v>
      </c>
      <c r="C18" s="17">
        <f>VLOOKUP($A18,moduly_podstawowe_BR[],6,FALSE)</f>
        <v>7060</v>
      </c>
      <c r="D18" s="17">
        <f>VLOOKUP($A18,moduly_podstawowe_BR[],7,FALSE)</f>
        <v>7420</v>
      </c>
      <c r="E18" s="18">
        <v>0</v>
      </c>
      <c r="F18" s="18">
        <v>0</v>
      </c>
      <c r="G18" s="19">
        <f>IF(F18=0,C18*E18,IF(OR(AND(E18=0,F18&lt;&gt;0),F18&gt;E18),"błąd",((E18-F18)*C18)+(D18*F18)))</f>
        <v>0</v>
      </c>
      <c r="H18" s="15">
        <f t="shared" si="1"/>
        <v>0</v>
      </c>
      <c r="K18" s="142"/>
    </row>
    <row r="19" spans="1:12" ht="15.6" x14ac:dyDescent="0.3">
      <c r="A19" s="200" t="s">
        <v>138</v>
      </c>
      <c r="B19" s="18" t="s">
        <v>5</v>
      </c>
      <c r="C19" s="17">
        <f>VLOOKUP($A19,moduly_podstawowe_BR[],6,FALSE)</f>
        <v>2650</v>
      </c>
      <c r="D19" s="17">
        <f>VLOOKUP($A19,moduly_podstawowe_BR[],7,FALSE)</f>
        <v>2780</v>
      </c>
      <c r="E19" s="18">
        <v>0</v>
      </c>
      <c r="F19" s="18">
        <v>0</v>
      </c>
      <c r="G19" s="19">
        <f>IF(F19=0,C19*E19,IF(OR(AND(E19=0,F19&lt;&gt;0),F19&gt;E19),"błąd",((E19-F19)*C19)+(D19*F19)))</f>
        <v>0</v>
      </c>
      <c r="H19" s="15">
        <f>IF(G19&gt;0,1,0)</f>
        <v>0</v>
      </c>
      <c r="K19" s="142"/>
    </row>
    <row r="20" spans="1:12" ht="15.6" x14ac:dyDescent="0.3">
      <c r="A20" s="200" t="s">
        <v>224</v>
      </c>
      <c r="B20" s="18" t="s">
        <v>5</v>
      </c>
      <c r="C20" s="17">
        <f>VLOOKUP($A20,moduly_podstawowe_BR[],6,FALSE)</f>
        <v>205</v>
      </c>
      <c r="D20" s="17">
        <f>VLOOKUP($A20,moduly_podstawowe_BR[],7,FALSE)</f>
        <v>205</v>
      </c>
      <c r="E20" s="18">
        <v>0</v>
      </c>
      <c r="F20" s="18">
        <v>0</v>
      </c>
      <c r="G20" s="19">
        <f>IF(F20=0,C20*E20,IF(OR(AND(E20=0,F20&lt;&gt;0),F20&gt;E20),"błąd",((E20-F20)*C20)+(D20*F20)))</f>
        <v>0</v>
      </c>
      <c r="H20" s="15">
        <f>IF(G20&gt;0,1,0)</f>
        <v>0</v>
      </c>
      <c r="K20" s="142"/>
    </row>
    <row r="21" spans="1:12" ht="15.6" x14ac:dyDescent="0.3">
      <c r="A21" s="283" t="s">
        <v>14</v>
      </c>
      <c r="B21" s="284"/>
      <c r="C21" s="53"/>
      <c r="D21" s="53"/>
      <c r="E21" s="53"/>
      <c r="F21" s="54"/>
      <c r="G21" s="41">
        <f>SUM(G3:G20)</f>
        <v>0</v>
      </c>
      <c r="H21" s="15">
        <f t="shared" si="1"/>
        <v>0</v>
      </c>
    </row>
    <row r="22" spans="1:12" ht="15.6" x14ac:dyDescent="0.3">
      <c r="A22" s="273" t="s">
        <v>156</v>
      </c>
      <c r="B22" s="274"/>
      <c r="C22" s="275"/>
      <c r="D22" s="31"/>
      <c r="E22" s="160"/>
      <c r="F22" s="161"/>
      <c r="G22" s="157"/>
      <c r="H22" s="123">
        <f>H24</f>
        <v>0</v>
      </c>
    </row>
    <row r="23" spans="1:12" ht="15.6" x14ac:dyDescent="0.3">
      <c r="A23" s="158" t="s">
        <v>182</v>
      </c>
      <c r="B23" s="18" t="s">
        <v>5</v>
      </c>
      <c r="C23" s="17"/>
      <c r="D23" s="17" t="str">
        <f>IFERROR(VLOOKUP(SUM(E3:E13,E17:E19),'Cennik enova365'!$A$146:$E$151,5,TRUE)," ")</f>
        <v xml:space="preserve"> </v>
      </c>
      <c r="E23" s="18" t="s">
        <v>4</v>
      </c>
      <c r="F23" s="36"/>
      <c r="G23" s="19">
        <f>IF(E23="TAK",D23,0)</f>
        <v>0</v>
      </c>
      <c r="H23" s="123">
        <f t="shared" ref="H23:H24" si="2">IF(G23&gt;0,1,0)</f>
        <v>0</v>
      </c>
    </row>
    <row r="24" spans="1:12" ht="15.6" x14ac:dyDescent="0.3">
      <c r="A24" s="127" t="s">
        <v>90</v>
      </c>
      <c r="B24" s="159"/>
      <c r="C24" s="129"/>
      <c r="D24" s="129"/>
      <c r="E24" s="130"/>
      <c r="F24" s="131"/>
      <c r="G24" s="22">
        <f>SUM(G23:G23)</f>
        <v>0</v>
      </c>
      <c r="H24" s="123">
        <f t="shared" si="2"/>
        <v>0</v>
      </c>
    </row>
    <row r="25" spans="1:12" ht="15.6" x14ac:dyDescent="0.3">
      <c r="A25" s="258" t="s">
        <v>159</v>
      </c>
      <c r="B25" s="259"/>
      <c r="C25" s="260"/>
      <c r="D25" s="65"/>
      <c r="E25" s="65" t="s">
        <v>34</v>
      </c>
      <c r="F25" s="66"/>
      <c r="G25" s="67"/>
      <c r="H25" s="15">
        <f>H32</f>
        <v>0</v>
      </c>
    </row>
    <row r="26" spans="1:12" ht="15.6" x14ac:dyDescent="0.3">
      <c r="A26" s="37" t="s">
        <v>58</v>
      </c>
      <c r="B26" s="25" t="s">
        <v>4</v>
      </c>
      <c r="C26" s="17">
        <f>VLOOKUP(E26,pulpity_KP[],2,FALSE)</f>
        <v>4540</v>
      </c>
      <c r="D26" s="17"/>
      <c r="E26" s="18" t="s">
        <v>168</v>
      </c>
      <c r="F26" s="36"/>
      <c r="G26" s="19">
        <f>IF(B26="TAK",C26,0)</f>
        <v>0</v>
      </c>
      <c r="H26" s="15">
        <f t="shared" si="1"/>
        <v>0</v>
      </c>
    </row>
    <row r="27" spans="1:12" ht="15.6" x14ac:dyDescent="0.3">
      <c r="A27" s="37" t="s">
        <v>30</v>
      </c>
      <c r="B27" s="25" t="s">
        <v>4</v>
      </c>
      <c r="C27" s="17">
        <f>VLOOKUP(A27,pulpity_KP[],2,FALSE)</f>
        <v>305</v>
      </c>
      <c r="D27" s="17"/>
      <c r="E27" s="18">
        <v>0</v>
      </c>
      <c r="F27" s="36"/>
      <c r="G27" s="19">
        <f>IF(B27="TAK",C27*E27,0)</f>
        <v>0</v>
      </c>
      <c r="H27" s="15">
        <f t="shared" si="1"/>
        <v>0</v>
      </c>
    </row>
    <row r="28" spans="1:12" ht="15.6" x14ac:dyDescent="0.3">
      <c r="A28" s="37" t="s">
        <v>72</v>
      </c>
      <c r="B28" s="25" t="s">
        <v>4</v>
      </c>
      <c r="C28" s="17">
        <f>VLOOKUP(E28,pulpity_WF[],2,FALSE)</f>
        <v>2270</v>
      </c>
      <c r="D28" s="17"/>
      <c r="E28" s="18" t="s">
        <v>168</v>
      </c>
      <c r="F28" s="36"/>
      <c r="G28" s="19">
        <f t="shared" ref="G28:G31" si="3">IF(B28="TAK",C28,0)</f>
        <v>0</v>
      </c>
      <c r="H28" s="15">
        <f>IF(G28&gt;0,1,0)</f>
        <v>0</v>
      </c>
    </row>
    <row r="29" spans="1:12" ht="15.6" x14ac:dyDescent="0.3">
      <c r="A29" s="222" t="s">
        <v>200</v>
      </c>
      <c r="B29" s="218" t="s">
        <v>4</v>
      </c>
      <c r="C29" s="219">
        <f>VLOOKUP(E29,pulpity_BI[],2,FALSE)</f>
        <v>1290</v>
      </c>
      <c r="D29" s="219"/>
      <c r="E29" s="220" t="s">
        <v>168</v>
      </c>
      <c r="F29" s="224"/>
      <c r="G29" s="221">
        <f t="shared" si="3"/>
        <v>0</v>
      </c>
      <c r="H29" s="223">
        <f>IF(G29&gt;0,1,0)</f>
        <v>0</v>
      </c>
    </row>
    <row r="30" spans="1:12" ht="15.6" x14ac:dyDescent="0.3">
      <c r="A30" s="222" t="s">
        <v>225</v>
      </c>
      <c r="B30" s="218" t="s">
        <v>4</v>
      </c>
      <c r="C30" s="219">
        <f>VLOOKUP(E30,enova365_Praca_Hybrydowa_w_Pulpitach,2,FALSE)</f>
        <v>2160</v>
      </c>
      <c r="D30" s="219"/>
      <c r="E30" s="220" t="s">
        <v>168</v>
      </c>
      <c r="F30" s="224"/>
      <c r="G30" s="221">
        <f t="shared" si="3"/>
        <v>0</v>
      </c>
      <c r="H30" s="223">
        <f>IF(G30&gt;0,1,0)</f>
        <v>0</v>
      </c>
    </row>
    <row r="31" spans="1:12" s="123" customFormat="1" ht="15.6" x14ac:dyDescent="0.3">
      <c r="A31" s="37" t="s">
        <v>98</v>
      </c>
      <c r="B31" s="25" t="s">
        <v>4</v>
      </c>
      <c r="C31" s="17">
        <f>VLOOKUP(A31,pulpity_KP[],2,FALSE)</f>
        <v>7520</v>
      </c>
      <c r="D31" s="17"/>
      <c r="E31" s="17"/>
      <c r="F31" s="36"/>
      <c r="G31" s="19">
        <f t="shared" si="3"/>
        <v>0</v>
      </c>
      <c r="H31" s="123">
        <f t="shared" ref="H31" si="4">IF(G31&gt;0,1,0)</f>
        <v>0</v>
      </c>
      <c r="J31" s="124"/>
      <c r="K31" s="134"/>
      <c r="L31" s="134"/>
    </row>
    <row r="32" spans="1:12" ht="15.6" x14ac:dyDescent="0.3">
      <c r="A32" s="283" t="s">
        <v>37</v>
      </c>
      <c r="B32" s="284"/>
      <c r="C32" s="53"/>
      <c r="D32" s="53"/>
      <c r="E32" s="53"/>
      <c r="F32" s="54"/>
      <c r="G32" s="41">
        <f>SUM(G26:G31)</f>
        <v>0</v>
      </c>
      <c r="H32" s="15">
        <f t="shared" si="1"/>
        <v>0</v>
      </c>
    </row>
    <row r="33" spans="1:10" ht="15.6" x14ac:dyDescent="0.3">
      <c r="A33" s="273" t="s">
        <v>165</v>
      </c>
      <c r="B33" s="274"/>
      <c r="C33" s="275"/>
      <c r="D33" s="68"/>
      <c r="E33" s="65" t="s">
        <v>31</v>
      </c>
      <c r="F33" s="66"/>
      <c r="G33" s="69"/>
      <c r="H33" s="15">
        <f>H35</f>
        <v>0</v>
      </c>
    </row>
    <row r="34" spans="1:10" ht="31.2" x14ac:dyDescent="0.3">
      <c r="A34" s="55" t="s">
        <v>166</v>
      </c>
      <c r="B34" s="82" t="s">
        <v>4</v>
      </c>
      <c r="C34" s="56">
        <v>0.05</v>
      </c>
      <c r="D34" s="56"/>
      <c r="E34" s="83">
        <v>0</v>
      </c>
      <c r="F34" s="110"/>
      <c r="G34" s="57">
        <f>IF(B34="TAK",(G32*E34)*C34,0)</f>
        <v>0</v>
      </c>
      <c r="H34" s="58">
        <f t="shared" si="1"/>
        <v>0</v>
      </c>
    </row>
    <row r="35" spans="1:10" ht="15.6" x14ac:dyDescent="0.3">
      <c r="A35" s="283" t="s">
        <v>75</v>
      </c>
      <c r="B35" s="284"/>
      <c r="C35" s="38"/>
      <c r="D35" s="38"/>
      <c r="E35" s="38"/>
      <c r="F35" s="40"/>
      <c r="G35" s="41">
        <f>G32+G34</f>
        <v>0</v>
      </c>
      <c r="H35" s="15">
        <f t="shared" si="1"/>
        <v>0</v>
      </c>
    </row>
    <row r="36" spans="1:10" ht="15.6" x14ac:dyDescent="0.3">
      <c r="A36" s="233" t="s">
        <v>206</v>
      </c>
      <c r="B36" s="234"/>
      <c r="C36" s="235"/>
      <c r="D36" s="70"/>
      <c r="E36" s="65" t="s">
        <v>79</v>
      </c>
      <c r="F36" s="66"/>
      <c r="G36" s="71"/>
      <c r="H36" s="15">
        <f>IF(G38&gt;0,1,0)</f>
        <v>0</v>
      </c>
    </row>
    <row r="37" spans="1:10" ht="15.6" x14ac:dyDescent="0.3">
      <c r="A37" s="37" t="s">
        <v>73</v>
      </c>
      <c r="B37" s="82" t="s">
        <v>4</v>
      </c>
      <c r="C37" s="17" t="s">
        <v>204</v>
      </c>
      <c r="D37" s="17">
        <f>IF($C37="Podstawowy miesięczny",VLOOKUP($E37,pulpity_KBR[],2,FALSE),IF($C37="Podstawowy roczny",VLOOKUP($E37,pulpity_KBR[],3,FALSE),IF($C37="Rozszerzony miesięczny",VLOOKUP($E37,pulpity_KBR[],3,FALSE),IF($C37="Rozszerzony roczny",VLOOKUP($E37,pulpity_KBR[],5,FALSE)))))</f>
        <v>225</v>
      </c>
      <c r="E37" s="18" t="s">
        <v>174</v>
      </c>
      <c r="F37" s="36"/>
      <c r="G37" s="19">
        <f>IF(B37="TAK",D37,0)</f>
        <v>0</v>
      </c>
      <c r="H37" s="15">
        <f t="shared" si="1"/>
        <v>0</v>
      </c>
      <c r="J37" s="236" t="str">
        <f>IF(B37="NIE"," ",IF(C37="PODSTAWOWY MIESIĘCZNY","abonament za jeden miesiąc",IF(C37="ROZSZERZONY MIESIĘCZNY","wymaga posiadania na licencji min. 1 st. Faktur w wersji srebrnej, abonament za jeden miesiąc",IF(C37="PODSTAWOWY ROCZNY"," ",IF(C37="ROZSZERZONY ROCZNY","wymaga posiadania na licencji min. 1 st. Faktur w wersji srebrnej ")))))</f>
        <v xml:space="preserve"> </v>
      </c>
    </row>
    <row r="38" spans="1:10" ht="15.6" x14ac:dyDescent="0.3">
      <c r="A38" s="285" t="s">
        <v>74</v>
      </c>
      <c r="B38" s="286"/>
      <c r="C38" s="53"/>
      <c r="D38" s="53"/>
      <c r="E38" s="53"/>
      <c r="F38" s="54"/>
      <c r="G38" s="41">
        <f>G37</f>
        <v>0</v>
      </c>
      <c r="H38" s="15">
        <f t="shared" si="1"/>
        <v>0</v>
      </c>
    </row>
    <row r="39" spans="1:10" ht="47.4" customHeight="1" x14ac:dyDescent="0.3">
      <c r="A39" s="276" t="s">
        <v>157</v>
      </c>
      <c r="B39" s="259"/>
      <c r="C39" s="260"/>
      <c r="D39" s="72"/>
      <c r="E39" s="70"/>
      <c r="F39" s="73"/>
      <c r="G39" s="71"/>
      <c r="H39" s="15">
        <f>H65</f>
        <v>1</v>
      </c>
    </row>
    <row r="40" spans="1:10" ht="15.6" x14ac:dyDescent="0.3">
      <c r="A40" s="263" t="s">
        <v>100</v>
      </c>
      <c r="B40" s="264"/>
      <c r="C40" s="265"/>
      <c r="D40" s="17">
        <f>VLOOKUP($A40,moduly_dodatkowe[],2,FALSE)</f>
        <v>3770</v>
      </c>
      <c r="E40" s="18" t="s">
        <v>4</v>
      </c>
      <c r="F40" s="146"/>
      <c r="G40" s="19">
        <f t="shared" ref="G40:G63" si="5">IF(SUM(E$3:E$15)=0,IF(E40="TAK",D40,0),IF(N$21=0,0,IF(E40="TAK",D40,0)))</f>
        <v>0</v>
      </c>
      <c r="H40" s="15">
        <f>IF(E40="TAK",1,0)</f>
        <v>0</v>
      </c>
    </row>
    <row r="41" spans="1:10" ht="15.6" x14ac:dyDescent="0.3">
      <c r="A41" s="263" t="s">
        <v>50</v>
      </c>
      <c r="B41" s="264"/>
      <c r="C41" s="265"/>
      <c r="D41" s="17">
        <f>VLOOKUP($A41,moduly_dodatkowe[],2,FALSE)</f>
        <v>3770</v>
      </c>
      <c r="E41" s="18" t="s">
        <v>4</v>
      </c>
      <c r="F41" s="36"/>
      <c r="G41" s="19">
        <f t="shared" si="5"/>
        <v>0</v>
      </c>
      <c r="H41" s="15">
        <f t="shared" ref="H41:H63" si="6">IF(E41="TAK",1,0)</f>
        <v>0</v>
      </c>
    </row>
    <row r="42" spans="1:10" ht="15.6" x14ac:dyDescent="0.3">
      <c r="A42" s="263" t="s">
        <v>101</v>
      </c>
      <c r="B42" s="264"/>
      <c r="C42" s="265"/>
      <c r="D42" s="17">
        <f>VLOOKUP($A42,moduly_dodatkowe[],2,FALSE)</f>
        <v>11400</v>
      </c>
      <c r="E42" s="18" t="s">
        <v>4</v>
      </c>
      <c r="F42" s="36"/>
      <c r="G42" s="19">
        <f t="shared" si="5"/>
        <v>0</v>
      </c>
      <c r="H42" s="15">
        <f t="shared" si="6"/>
        <v>0</v>
      </c>
    </row>
    <row r="43" spans="1:10" ht="15.6" x14ac:dyDescent="0.3">
      <c r="A43" s="263" t="s">
        <v>102</v>
      </c>
      <c r="B43" s="264"/>
      <c r="C43" s="265"/>
      <c r="D43" s="17">
        <f>VLOOKUP($A43,moduly_dodatkowe[],2,FALSE)</f>
        <v>1060</v>
      </c>
      <c r="E43" s="18" t="s">
        <v>4</v>
      </c>
      <c r="F43" s="36"/>
      <c r="G43" s="19">
        <f t="shared" si="5"/>
        <v>0</v>
      </c>
      <c r="H43" s="15">
        <f t="shared" si="6"/>
        <v>0</v>
      </c>
    </row>
    <row r="44" spans="1:10" ht="15.6" x14ac:dyDescent="0.3">
      <c r="A44" s="263" t="s">
        <v>51</v>
      </c>
      <c r="B44" s="264"/>
      <c r="C44" s="265"/>
      <c r="D44" s="17">
        <f>VLOOKUP($A44,moduly_dodatkowe[],2,FALSE)</f>
        <v>3020</v>
      </c>
      <c r="E44" s="18" t="s">
        <v>4</v>
      </c>
      <c r="F44" s="36"/>
      <c r="G44" s="19">
        <f t="shared" si="5"/>
        <v>0</v>
      </c>
      <c r="H44" s="15">
        <f t="shared" si="6"/>
        <v>0</v>
      </c>
    </row>
    <row r="45" spans="1:10" ht="15.6" x14ac:dyDescent="0.3">
      <c r="A45" s="263" t="s">
        <v>103</v>
      </c>
      <c r="B45" s="264"/>
      <c r="C45" s="265"/>
      <c r="D45" s="17">
        <f>VLOOKUP($A45,moduly_dodatkowe[],2,FALSE)</f>
        <v>3020</v>
      </c>
      <c r="E45" s="18" t="s">
        <v>4</v>
      </c>
      <c r="F45" s="36"/>
      <c r="G45" s="19">
        <f t="shared" si="5"/>
        <v>0</v>
      </c>
      <c r="H45" s="15">
        <f t="shared" si="6"/>
        <v>0</v>
      </c>
    </row>
    <row r="46" spans="1:10" ht="15.6" x14ac:dyDescent="0.3">
      <c r="A46" s="263" t="s">
        <v>99</v>
      </c>
      <c r="B46" s="264"/>
      <c r="C46" s="265"/>
      <c r="D46" s="17">
        <f>VLOOKUP($A46,moduly_dodatkowe[],2,FALSE)</f>
        <v>2270</v>
      </c>
      <c r="E46" s="18" t="s">
        <v>4</v>
      </c>
      <c r="F46" s="36"/>
      <c r="G46" s="19">
        <f t="shared" si="5"/>
        <v>0</v>
      </c>
      <c r="H46" s="123">
        <f t="shared" si="6"/>
        <v>0</v>
      </c>
    </row>
    <row r="47" spans="1:10" ht="15.6" x14ac:dyDescent="0.3">
      <c r="A47" s="263" t="s">
        <v>201</v>
      </c>
      <c r="B47" s="264"/>
      <c r="C47" s="265"/>
      <c r="D47" s="17">
        <f>VLOOKUP($A47,moduly_dodatkowe[],2,FALSE)</f>
        <v>6520</v>
      </c>
      <c r="E47" s="18" t="s">
        <v>4</v>
      </c>
      <c r="F47" s="36"/>
      <c r="G47" s="19">
        <f t="shared" si="5"/>
        <v>0</v>
      </c>
      <c r="H47" s="123">
        <f t="shared" si="6"/>
        <v>0</v>
      </c>
    </row>
    <row r="48" spans="1:10" ht="15.6" x14ac:dyDescent="0.3">
      <c r="A48" s="263" t="s">
        <v>180</v>
      </c>
      <c r="B48" s="264"/>
      <c r="C48" s="265"/>
      <c r="D48" s="17">
        <f>VLOOKUP($A48,moduly_dodatkowe[],2,FALSE)</f>
        <v>1360</v>
      </c>
      <c r="E48" s="18" t="s">
        <v>4</v>
      </c>
      <c r="F48" s="36"/>
      <c r="G48" s="19">
        <f>IF(SUM(E$3:E$15)=0,IF(E48="TAK",D48,0),IF(N$21=0,0,IF(E48="TAK",D48,0)))</f>
        <v>0</v>
      </c>
      <c r="H48" s="123">
        <f t="shared" si="6"/>
        <v>0</v>
      </c>
    </row>
    <row r="49" spans="1:8" ht="15.6" x14ac:dyDescent="0.3">
      <c r="A49" s="263" t="s">
        <v>228</v>
      </c>
      <c r="B49" s="264"/>
      <c r="C49" s="265"/>
      <c r="D49" s="17">
        <f>VLOOKUP($A49,moduly_dodatkowe[],2,FALSE)</f>
        <v>3640</v>
      </c>
      <c r="E49" s="18" t="s">
        <v>4</v>
      </c>
      <c r="F49" s="36"/>
      <c r="G49" s="19">
        <f>IF(SUM(E$3:E$15)=0,IF(E49="TAK",D49,0),IF(N$21=0,0,IF(E49="TAK",D49,0)))</f>
        <v>0</v>
      </c>
      <c r="H49" s="123">
        <f t="shared" si="6"/>
        <v>0</v>
      </c>
    </row>
    <row r="50" spans="1:8" ht="15.6" x14ac:dyDescent="0.3">
      <c r="A50" s="263" t="s">
        <v>87</v>
      </c>
      <c r="B50" s="264"/>
      <c r="C50" s="265"/>
      <c r="D50" s="17">
        <f>VLOOKUP($A50,moduly_dodatkowe[],2,FALSE)</f>
        <v>3770</v>
      </c>
      <c r="E50" s="18" t="s">
        <v>4</v>
      </c>
      <c r="F50" s="36"/>
      <c r="G50" s="19">
        <f t="shared" si="5"/>
        <v>0</v>
      </c>
      <c r="H50" s="15">
        <f t="shared" si="6"/>
        <v>0</v>
      </c>
    </row>
    <row r="51" spans="1:8" ht="15.6" x14ac:dyDescent="0.3">
      <c r="A51" s="263" t="s">
        <v>45</v>
      </c>
      <c r="B51" s="264"/>
      <c r="C51" s="265"/>
      <c r="D51" s="17">
        <f>VLOOKUP($A51,moduly_dodatkowe[],2,FALSE)</f>
        <v>3020</v>
      </c>
      <c r="E51" s="18" t="s">
        <v>4</v>
      </c>
      <c r="F51" s="36"/>
      <c r="G51" s="19">
        <f t="shared" si="5"/>
        <v>0</v>
      </c>
      <c r="H51" s="15">
        <f t="shared" si="6"/>
        <v>0</v>
      </c>
    </row>
    <row r="52" spans="1:8" ht="15.6" x14ac:dyDescent="0.3">
      <c r="A52" s="263" t="s">
        <v>46</v>
      </c>
      <c r="B52" s="264"/>
      <c r="C52" s="265"/>
      <c r="D52" s="17">
        <f>VLOOKUP($A52,moduly_dodatkowe[],2,FALSE)</f>
        <v>3330</v>
      </c>
      <c r="E52" s="18" t="s">
        <v>4</v>
      </c>
      <c r="F52" s="36"/>
      <c r="G52" s="19">
        <f t="shared" si="5"/>
        <v>0</v>
      </c>
      <c r="H52" s="15">
        <f t="shared" si="6"/>
        <v>0</v>
      </c>
    </row>
    <row r="53" spans="1:8" ht="15.6" x14ac:dyDescent="0.3">
      <c r="A53" s="263" t="s">
        <v>47</v>
      </c>
      <c r="B53" s="264"/>
      <c r="C53" s="265"/>
      <c r="D53" s="17">
        <f>VLOOKUP($A53,moduly_dodatkowe[],2,FALSE)</f>
        <v>3770</v>
      </c>
      <c r="E53" s="18" t="s">
        <v>4</v>
      </c>
      <c r="F53" s="36"/>
      <c r="G53" s="19">
        <f t="shared" si="5"/>
        <v>0</v>
      </c>
      <c r="H53" s="15">
        <f t="shared" si="6"/>
        <v>0</v>
      </c>
    </row>
    <row r="54" spans="1:8" ht="15.6" x14ac:dyDescent="0.3">
      <c r="A54" s="263" t="s">
        <v>48</v>
      </c>
      <c r="B54" s="264"/>
      <c r="C54" s="265"/>
      <c r="D54" s="17">
        <f>VLOOKUP($A54,moduly_dodatkowe[],2,FALSE)</f>
        <v>2270</v>
      </c>
      <c r="E54" s="18" t="s">
        <v>4</v>
      </c>
      <c r="F54" s="36"/>
      <c r="G54" s="19">
        <f t="shared" si="5"/>
        <v>0</v>
      </c>
      <c r="H54" s="15">
        <f t="shared" si="6"/>
        <v>0</v>
      </c>
    </row>
    <row r="55" spans="1:8" ht="15.6" x14ac:dyDescent="0.3">
      <c r="A55" s="263" t="s">
        <v>49</v>
      </c>
      <c r="B55" s="264"/>
      <c r="C55" s="265"/>
      <c r="D55" s="17">
        <f>VLOOKUP($A55,moduly_dodatkowe[],2,FALSE)</f>
        <v>2270</v>
      </c>
      <c r="E55" s="18" t="s">
        <v>4</v>
      </c>
      <c r="F55" s="36"/>
      <c r="G55" s="19">
        <f t="shared" si="5"/>
        <v>0</v>
      </c>
      <c r="H55" s="15">
        <f t="shared" si="6"/>
        <v>0</v>
      </c>
    </row>
    <row r="56" spans="1:8" ht="15.6" x14ac:dyDescent="0.3">
      <c r="A56" s="263" t="s">
        <v>56</v>
      </c>
      <c r="B56" s="264"/>
      <c r="C56" s="265"/>
      <c r="D56" s="17">
        <f>VLOOKUP($A56,moduly_dodatkowe[],2,FALSE)</f>
        <v>1100</v>
      </c>
      <c r="E56" s="18" t="s">
        <v>4</v>
      </c>
      <c r="F56" s="36"/>
      <c r="G56" s="19">
        <f t="shared" si="5"/>
        <v>0</v>
      </c>
      <c r="H56" s="15">
        <f t="shared" si="6"/>
        <v>0</v>
      </c>
    </row>
    <row r="57" spans="1:8" ht="15.6" x14ac:dyDescent="0.3">
      <c r="A57" s="263" t="s">
        <v>104</v>
      </c>
      <c r="B57" s="264"/>
      <c r="C57" s="265"/>
      <c r="D57" s="17">
        <f>VLOOKUP($A57,moduly_dodatkowe[],2,FALSE)</f>
        <v>295</v>
      </c>
      <c r="E57" s="18" t="s">
        <v>4</v>
      </c>
      <c r="F57" s="36"/>
      <c r="G57" s="19">
        <f t="shared" si="5"/>
        <v>0</v>
      </c>
      <c r="H57" s="15">
        <f t="shared" si="6"/>
        <v>0</v>
      </c>
    </row>
    <row r="58" spans="1:8" ht="15.6" x14ac:dyDescent="0.3">
      <c r="A58" s="263" t="s">
        <v>55</v>
      </c>
      <c r="B58" s="264"/>
      <c r="C58" s="265"/>
      <c r="D58" s="17">
        <f>VLOOKUP($A58,moduly_dodatkowe[],2,FALSE)</f>
        <v>3020</v>
      </c>
      <c r="E58" s="18" t="s">
        <v>4</v>
      </c>
      <c r="F58" s="36"/>
      <c r="G58" s="19">
        <f t="shared" si="5"/>
        <v>0</v>
      </c>
      <c r="H58" s="15">
        <f t="shared" si="6"/>
        <v>0</v>
      </c>
    </row>
    <row r="59" spans="1:8" ht="15.6" x14ac:dyDescent="0.3">
      <c r="A59" s="263" t="s">
        <v>97</v>
      </c>
      <c r="B59" s="264"/>
      <c r="C59" s="265"/>
      <c r="D59" s="17">
        <f>VLOOKUP($A59,moduly_dodatkowe[],2,FALSE)</f>
        <v>7570</v>
      </c>
      <c r="E59" s="18" t="s">
        <v>4</v>
      </c>
      <c r="F59" s="36"/>
      <c r="G59" s="19">
        <f t="shared" si="5"/>
        <v>0</v>
      </c>
      <c r="H59" s="15">
        <f t="shared" si="6"/>
        <v>0</v>
      </c>
    </row>
    <row r="60" spans="1:8" ht="15.6" x14ac:dyDescent="0.3">
      <c r="A60" s="263" t="s">
        <v>53</v>
      </c>
      <c r="B60" s="264"/>
      <c r="C60" s="265"/>
      <c r="D60" s="17">
        <f>VLOOKUP($A60,moduly_dodatkowe[],2,FALSE)</f>
        <v>1360</v>
      </c>
      <c r="E60" s="18" t="s">
        <v>4</v>
      </c>
      <c r="F60" s="36"/>
      <c r="G60" s="19">
        <f t="shared" si="5"/>
        <v>0</v>
      </c>
      <c r="H60" s="15">
        <f t="shared" si="6"/>
        <v>0</v>
      </c>
    </row>
    <row r="61" spans="1:8" ht="15.6" x14ac:dyDescent="0.3">
      <c r="A61" s="263" t="s">
        <v>54</v>
      </c>
      <c r="B61" s="264"/>
      <c r="C61" s="265"/>
      <c r="D61" s="17">
        <f>VLOOKUP($A61,moduly_dodatkowe[],2,FALSE)</f>
        <v>1360</v>
      </c>
      <c r="E61" s="18" t="s">
        <v>4</v>
      </c>
      <c r="F61" s="36"/>
      <c r="G61" s="19">
        <f t="shared" si="5"/>
        <v>0</v>
      </c>
      <c r="H61" s="15">
        <f t="shared" si="6"/>
        <v>0</v>
      </c>
    </row>
    <row r="62" spans="1:8" ht="15.6" x14ac:dyDescent="0.3">
      <c r="A62" s="263" t="s">
        <v>70</v>
      </c>
      <c r="B62" s="264"/>
      <c r="C62" s="265"/>
      <c r="D62" s="17">
        <f>VLOOKUP($A62,moduly_dodatkowe[],2,FALSE)</f>
        <v>3020</v>
      </c>
      <c r="E62" s="18" t="s">
        <v>4</v>
      </c>
      <c r="F62" s="36"/>
      <c r="G62" s="19">
        <f t="shared" si="5"/>
        <v>0</v>
      </c>
      <c r="H62" s="15">
        <f t="shared" si="6"/>
        <v>0</v>
      </c>
    </row>
    <row r="63" spans="1:8" ht="15.6" x14ac:dyDescent="0.3">
      <c r="A63" s="263" t="s">
        <v>226</v>
      </c>
      <c r="B63" s="264"/>
      <c r="C63" s="265"/>
      <c r="D63" s="17">
        <f>VLOOKUP($A63,moduly_dodatkowe[],2,FALSE)</f>
        <v>2770</v>
      </c>
      <c r="E63" s="18" t="s">
        <v>4</v>
      </c>
      <c r="F63" s="36"/>
      <c r="G63" s="19">
        <f t="shared" si="5"/>
        <v>0</v>
      </c>
      <c r="H63" s="15">
        <f t="shared" si="6"/>
        <v>0</v>
      </c>
    </row>
    <row r="64" spans="1:8" ht="15.6" x14ac:dyDescent="0.3">
      <c r="A64" s="263" t="s">
        <v>207</v>
      </c>
      <c r="B64" s="264"/>
      <c r="C64" s="265"/>
      <c r="D64" s="17"/>
      <c r="E64" s="18" t="s">
        <v>2</v>
      </c>
      <c r="F64" s="36"/>
      <c r="G64" s="59" t="s">
        <v>69</v>
      </c>
      <c r="H64" s="15">
        <v>1</v>
      </c>
    </row>
    <row r="65" spans="1:12" ht="15.6" x14ac:dyDescent="0.3">
      <c r="A65" s="280" t="s">
        <v>15</v>
      </c>
      <c r="B65" s="281"/>
      <c r="C65" s="282"/>
      <c r="D65" s="39"/>
      <c r="E65" s="60"/>
      <c r="F65" s="61"/>
      <c r="G65" s="41">
        <f>SUM(G40:G63)</f>
        <v>0</v>
      </c>
      <c r="H65" s="15">
        <f>IF(SUM(H40:H64)&gt;0,1,0)</f>
        <v>1</v>
      </c>
    </row>
    <row r="66" spans="1:12" ht="31.2" customHeight="1" x14ac:dyDescent="0.3">
      <c r="A66" s="276" t="s">
        <v>163</v>
      </c>
      <c r="B66" s="287"/>
      <c r="C66" s="288"/>
      <c r="D66" s="70"/>
      <c r="E66" s="65" t="s">
        <v>39</v>
      </c>
      <c r="F66" s="66"/>
      <c r="G66" s="71"/>
      <c r="H66" s="15">
        <f>IF(G68&gt;0,1,0)</f>
        <v>0</v>
      </c>
    </row>
    <row r="67" spans="1:12" ht="15.6" x14ac:dyDescent="0.3">
      <c r="A67" s="37" t="s">
        <v>62</v>
      </c>
      <c r="B67" s="25" t="s">
        <v>4</v>
      </c>
      <c r="C67" s="20" t="s">
        <v>38</v>
      </c>
      <c r="D67" s="20"/>
      <c r="E67" s="18">
        <v>0</v>
      </c>
      <c r="F67" s="36"/>
      <c r="G67" s="19">
        <v>0</v>
      </c>
      <c r="H67" s="15">
        <f t="shared" ref="H67:H79" si="7">IF(G67&gt;0,1,0)</f>
        <v>0</v>
      </c>
    </row>
    <row r="68" spans="1:12" ht="15.6" x14ac:dyDescent="0.3">
      <c r="A68" s="42" t="s">
        <v>16</v>
      </c>
      <c r="B68" s="85"/>
      <c r="C68" s="86"/>
      <c r="D68" s="86"/>
      <c r="E68" s="85"/>
      <c r="F68" s="87"/>
      <c r="G68" s="41">
        <f>SUM(G67:G67)</f>
        <v>0</v>
      </c>
      <c r="H68" s="15">
        <f t="shared" si="7"/>
        <v>0</v>
      </c>
    </row>
    <row r="69" spans="1:12" s="123" customFormat="1" ht="15.6" x14ac:dyDescent="0.3">
      <c r="A69" s="37" t="str">
        <f>'Cennik enova365'!A154</f>
        <v>Pakiet Start</v>
      </c>
      <c r="B69" s="261" t="s">
        <v>161</v>
      </c>
      <c r="C69" s="17">
        <f>'Cennik enova365'!B154</f>
        <v>795</v>
      </c>
      <c r="D69" s="17"/>
      <c r="E69" s="18" t="s">
        <v>4</v>
      </c>
      <c r="F69" s="36"/>
      <c r="G69" s="19">
        <f>IF($E69="TAK",$C69,0)</f>
        <v>0</v>
      </c>
      <c r="H69" s="123">
        <f t="shared" si="7"/>
        <v>0</v>
      </c>
      <c r="J69" s="134"/>
      <c r="K69" s="134"/>
      <c r="L69" s="134"/>
    </row>
    <row r="70" spans="1:12" s="123" customFormat="1" ht="15.6" x14ac:dyDescent="0.3">
      <c r="A70" s="37" t="s">
        <v>198</v>
      </c>
      <c r="B70" s="262"/>
      <c r="C70" s="17">
        <f>'Cennik enova365'!B155</f>
        <v>1890</v>
      </c>
      <c r="D70" s="17"/>
      <c r="E70" s="18" t="s">
        <v>4</v>
      </c>
      <c r="F70" s="36"/>
      <c r="G70" s="19">
        <f>IF($E70="TAK",$C70,0)</f>
        <v>0</v>
      </c>
      <c r="H70" s="123">
        <f t="shared" si="7"/>
        <v>0</v>
      </c>
      <c r="J70" s="134"/>
      <c r="K70" s="134"/>
      <c r="L70" s="134"/>
    </row>
    <row r="71" spans="1:12" s="123" customFormat="1" ht="15.6" x14ac:dyDescent="0.3">
      <c r="A71" s="37" t="str">
        <f>'Cennik enova365'!A156</f>
        <v>Pakiet Standard</v>
      </c>
      <c r="B71" s="262"/>
      <c r="C71" s="17">
        <f>'Cennik enova365'!B156</f>
        <v>3090</v>
      </c>
      <c r="D71" s="17"/>
      <c r="E71" s="18" t="s">
        <v>4</v>
      </c>
      <c r="F71" s="36"/>
      <c r="G71" s="19">
        <f t="shared" ref="G71:G73" si="8">IF($E71="TAK",$C71,0)</f>
        <v>0</v>
      </c>
      <c r="H71" s="123">
        <f t="shared" si="7"/>
        <v>0</v>
      </c>
      <c r="J71" s="134"/>
      <c r="K71" s="134"/>
      <c r="L71" s="134"/>
    </row>
    <row r="72" spans="1:12" s="123" customFormat="1" ht="15.6" x14ac:dyDescent="0.3">
      <c r="A72" s="37" t="str">
        <f>'Cennik enova365'!A157</f>
        <v>Pakiet Optymalny</v>
      </c>
      <c r="B72" s="262"/>
      <c r="C72" s="17">
        <f>'Cennik enova365'!B157</f>
        <v>4950</v>
      </c>
      <c r="D72" s="17"/>
      <c r="E72" s="18" t="s">
        <v>4</v>
      </c>
      <c r="F72" s="36"/>
      <c r="G72" s="19">
        <f t="shared" si="8"/>
        <v>0</v>
      </c>
      <c r="H72" s="123">
        <f t="shared" si="7"/>
        <v>0</v>
      </c>
      <c r="J72" s="134"/>
      <c r="K72" s="134"/>
      <c r="L72" s="134"/>
    </row>
    <row r="73" spans="1:12" s="123" customFormat="1" ht="15.6" x14ac:dyDescent="0.3">
      <c r="A73" s="37" t="str">
        <f>'Cennik enova365'!A158</f>
        <v>Pakiet Rozszerzony</v>
      </c>
      <c r="B73" s="266"/>
      <c r="C73" s="17">
        <f>'Cennik enova365'!B158</f>
        <v>7190</v>
      </c>
      <c r="D73" s="17"/>
      <c r="E73" s="18" t="s">
        <v>4</v>
      </c>
      <c r="F73" s="36"/>
      <c r="G73" s="19">
        <f t="shared" si="8"/>
        <v>0</v>
      </c>
      <c r="H73" s="123">
        <f t="shared" si="7"/>
        <v>0</v>
      </c>
      <c r="J73" s="134"/>
      <c r="K73" s="134"/>
      <c r="L73" s="134"/>
    </row>
    <row r="74" spans="1:12" s="123" customFormat="1" ht="15.6" x14ac:dyDescent="0.3">
      <c r="A74" s="42" t="s">
        <v>17</v>
      </c>
      <c r="B74" s="38"/>
      <c r="C74" s="39"/>
      <c r="D74" s="39"/>
      <c r="E74" s="38"/>
      <c r="F74" s="40"/>
      <c r="G74" s="41">
        <f>IF((COUNTIF(G69:G73,"&gt;0"))&gt;1,"wybierz 1 pakiet",SUM(G69:G73))</f>
        <v>0</v>
      </c>
      <c r="H74" s="123">
        <f t="shared" si="7"/>
        <v>0</v>
      </c>
      <c r="J74" s="134"/>
      <c r="K74" s="124"/>
      <c r="L74" s="134"/>
    </row>
    <row r="75" spans="1:12" s="123" customFormat="1" ht="17.399999999999999" x14ac:dyDescent="0.35">
      <c r="A75" s="106" t="s">
        <v>167</v>
      </c>
      <c r="B75" s="107"/>
      <c r="C75" s="108"/>
      <c r="D75" s="109"/>
      <c r="E75" s="165"/>
      <c r="F75" s="88"/>
      <c r="G75" s="163">
        <f>G21+G24+G65+G68+IF(E69="TAK",'Cennik enova365'!C154,IF(E71="TAK",'Cennik enova365'!C156,IF(E72="TAK",'Cennik enova365'!C157,IF(E73="TAK",'Cennik enova365'!C158,0))))</f>
        <v>0</v>
      </c>
      <c r="H75" s="123">
        <f t="shared" si="7"/>
        <v>0</v>
      </c>
      <c r="J75" s="134"/>
      <c r="K75" s="124"/>
      <c r="L75" s="134"/>
    </row>
    <row r="76" spans="1:12" s="123" customFormat="1" ht="31.2" x14ac:dyDescent="0.35">
      <c r="A76" s="89" t="s">
        <v>65</v>
      </c>
      <c r="B76" s="170" t="s">
        <v>76</v>
      </c>
      <c r="C76" s="172"/>
      <c r="D76" s="90"/>
      <c r="E76" s="91" t="s">
        <v>24</v>
      </c>
      <c r="F76" s="92"/>
      <c r="G76" s="171">
        <f>IF(AND(E77&gt;20),(G75*(E77-20)*0.05),0)</f>
        <v>0</v>
      </c>
      <c r="H76" s="123">
        <f t="shared" si="7"/>
        <v>0</v>
      </c>
      <c r="J76" s="134"/>
      <c r="K76" s="124"/>
      <c r="L76" s="134"/>
    </row>
    <row r="77" spans="1:12" s="123" customFormat="1" ht="17.399999999999999" x14ac:dyDescent="0.35">
      <c r="A77" s="93"/>
      <c r="B77" s="166"/>
      <c r="C77" s="173"/>
      <c r="D77" s="167"/>
      <c r="E77" s="103">
        <v>0</v>
      </c>
      <c r="F77" s="92"/>
      <c r="G77" s="164"/>
      <c r="H77" s="123">
        <f t="shared" si="7"/>
        <v>0</v>
      </c>
      <c r="J77" s="134"/>
      <c r="K77" s="124"/>
      <c r="L77" s="134"/>
    </row>
    <row r="78" spans="1:12" ht="15.6" x14ac:dyDescent="0.3">
      <c r="A78" s="43" t="s">
        <v>68</v>
      </c>
      <c r="B78" s="44"/>
      <c r="C78" s="44"/>
      <c r="D78" s="44"/>
      <c r="E78" s="44"/>
      <c r="F78" s="45"/>
      <c r="G78" s="46">
        <f>G21+G24+G35+G38+G65+G68+G74+G76</f>
        <v>0</v>
      </c>
      <c r="H78" s="123">
        <f t="shared" si="7"/>
        <v>0</v>
      </c>
    </row>
    <row r="79" spans="1:12" ht="15.6" x14ac:dyDescent="0.3">
      <c r="A79" s="47"/>
      <c r="B79" s="18" t="s">
        <v>18</v>
      </c>
      <c r="C79" s="113">
        <v>0</v>
      </c>
      <c r="D79" s="114"/>
      <c r="E79" s="18" t="s">
        <v>4</v>
      </c>
      <c r="F79" s="115"/>
      <c r="G79" s="116">
        <f>IF(E79="TAK",(G78-G74)*C79,0)</f>
        <v>0</v>
      </c>
      <c r="H79" s="123">
        <f t="shared" si="7"/>
        <v>0</v>
      </c>
    </row>
    <row r="80" spans="1:12" ht="15.6" x14ac:dyDescent="0.3">
      <c r="A80" s="48"/>
      <c r="B80" s="193" t="s">
        <v>19</v>
      </c>
      <c r="C80" s="194"/>
      <c r="D80" s="194"/>
      <c r="E80" s="194"/>
      <c r="F80" s="194"/>
      <c r="G80" s="186">
        <f>G79</f>
        <v>0</v>
      </c>
      <c r="H80" s="15">
        <f t="shared" si="1"/>
        <v>0</v>
      </c>
    </row>
    <row r="81" spans="1:10" ht="15.6" x14ac:dyDescent="0.3">
      <c r="A81" s="258" t="s">
        <v>233</v>
      </c>
      <c r="B81" s="259"/>
      <c r="C81" s="260"/>
      <c r="D81" s="31"/>
      <c r="E81" s="132" t="s">
        <v>34</v>
      </c>
      <c r="F81" s="133"/>
      <c r="G81" s="24"/>
      <c r="H81" s="15">
        <f t="shared" si="1"/>
        <v>0</v>
      </c>
    </row>
    <row r="82" spans="1:10" ht="31.2" customHeight="1" x14ac:dyDescent="0.3">
      <c r="A82" s="37" t="s">
        <v>139</v>
      </c>
      <c r="B82" s="181" t="s">
        <v>4</v>
      </c>
      <c r="C82" s="183" t="str">
        <f>IF(E82="5 000 stron rocznie",'Cennik enova365'!B161,IF(E82="10 000 stron rocznie",'Cennik enova365'!B162,IF(E82="15 000 stron rocznie",'Cennik enova365'!B163,IF(E82="20 000 stron rocznie",'Cennik enova365'!B164,IF(E82="25 000 stron rocznie",'Cennik enova365'!B165,IF(E82="30 000 stron rocznie",'Cennik enova365'!B166,IF(E82="35 000 stron rocznie",'Cennik enova365'!B167,IF(E82="40 000 stron rocznie",'Cennik enova365'!B168,IF(E82="45 000 stron rocznie",'Cennik enova365'!B169,IF(E82="50 000 stron rocznie",'Cennik enova365'!B170,IF(E82="55 000 stron rocznie",'Cennik enova365'!B171,IF(E82="60 000 stron rocznie",'Cennik enova365'!B172,IF(E82="powyżej 60 000 stron rocznie",'Cennik enova365'!B173)))))))))))))</f>
        <v>roczna nielimitowane stacje</v>
      </c>
      <c r="D82" s="17" t="s">
        <v>218</v>
      </c>
      <c r="E82" s="136" t="s">
        <v>143</v>
      </c>
      <c r="F82" s="36"/>
      <c r="G82" s="187">
        <f>IF(B82="TAK",C82,0)</f>
        <v>0</v>
      </c>
      <c r="H82" s="15">
        <f t="shared" si="1"/>
        <v>0</v>
      </c>
      <c r="J82" s="249" t="str">
        <f>IF(B82="TAK","Licencję należy odnowić po roku"," ")</f>
        <v xml:space="preserve"> </v>
      </c>
    </row>
    <row r="83" spans="1:10" ht="15.6" x14ac:dyDescent="0.3">
      <c r="A83" s="42" t="s">
        <v>142</v>
      </c>
      <c r="B83" s="38"/>
      <c r="C83" s="39"/>
      <c r="D83" s="39"/>
      <c r="E83" s="38"/>
      <c r="F83" s="40"/>
      <c r="G83" s="41">
        <f>SUM(G82:G82)</f>
        <v>0</v>
      </c>
      <c r="H83" s="15">
        <f t="shared" si="1"/>
        <v>0</v>
      </c>
    </row>
    <row r="84" spans="1:10" ht="15.6" x14ac:dyDescent="0.3">
      <c r="A84" s="76" t="s">
        <v>20</v>
      </c>
      <c r="B84" s="80"/>
      <c r="C84" s="80"/>
      <c r="D84" s="80"/>
      <c r="E84" s="80"/>
      <c r="F84" s="81"/>
      <c r="G84" s="79">
        <f>G78-G80</f>
        <v>0</v>
      </c>
      <c r="H84" s="15">
        <f t="shared" si="1"/>
        <v>0</v>
      </c>
    </row>
    <row r="85" spans="1:10" ht="15.6" x14ac:dyDescent="0.3">
      <c r="A85" s="76" t="s">
        <v>21</v>
      </c>
      <c r="B85" s="77"/>
      <c r="C85" s="77"/>
      <c r="D85" s="77"/>
      <c r="E85" s="77"/>
      <c r="F85" s="78"/>
      <c r="G85" s="79">
        <f>G84*1.23</f>
        <v>0</v>
      </c>
      <c r="H85" s="15">
        <f t="shared" si="1"/>
        <v>0</v>
      </c>
    </row>
    <row r="86" spans="1:10" ht="15.6" x14ac:dyDescent="0.3">
      <c r="A86" s="277" t="s">
        <v>140</v>
      </c>
      <c r="B86" s="278"/>
      <c r="C86" s="278"/>
      <c r="D86" s="278"/>
      <c r="E86" s="278"/>
      <c r="F86" s="279"/>
      <c r="G86" s="147">
        <f>(G78-G74)*'Cennik enova365'!$K$43+IFERROR((VLOOKUP(G74,pakiety_BR_AKT,2,FALSE)*'Cennik enova365'!$K$43),0)</f>
        <v>0</v>
      </c>
      <c r="H86" s="15">
        <f t="shared" si="1"/>
        <v>0</v>
      </c>
    </row>
    <row r="87" spans="1:10" x14ac:dyDescent="0.3">
      <c r="A87" s="49" t="s">
        <v>81</v>
      </c>
      <c r="B87" s="15"/>
      <c r="C87" s="50"/>
      <c r="D87" s="15"/>
      <c r="E87" s="15"/>
      <c r="F87" s="15"/>
      <c r="G87" s="15"/>
      <c r="H87" s="15">
        <v>1</v>
      </c>
    </row>
    <row r="88" spans="1:10" x14ac:dyDescent="0.3">
      <c r="A88" s="49" t="s">
        <v>82</v>
      </c>
      <c r="B88" s="15"/>
      <c r="C88" s="50"/>
      <c r="D88" s="15"/>
      <c r="E88" s="15"/>
      <c r="F88" s="15"/>
      <c r="G88" s="15"/>
      <c r="H88" s="15">
        <v>1</v>
      </c>
    </row>
    <row r="89" spans="1:10" x14ac:dyDescent="0.3">
      <c r="A89" s="51" t="s">
        <v>83</v>
      </c>
      <c r="B89" s="62"/>
      <c r="C89" s="52"/>
      <c r="D89" s="15"/>
      <c r="E89" s="15"/>
      <c r="F89" s="15"/>
      <c r="G89" s="15"/>
      <c r="H89" s="15">
        <v>1</v>
      </c>
    </row>
  </sheetData>
  <autoFilter ref="H1:H100" xr:uid="{00000000-0009-0000-0000-000002000000}"/>
  <dataConsolidate/>
  <mergeCells count="39">
    <mergeCell ref="A86:F86"/>
    <mergeCell ref="A64:C64"/>
    <mergeCell ref="A65:C65"/>
    <mergeCell ref="A66:C66"/>
    <mergeCell ref="B69:B73"/>
    <mergeCell ref="A81:C81"/>
    <mergeCell ref="A63:C63"/>
    <mergeCell ref="A62:C62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50:C50"/>
    <mergeCell ref="A35:B35"/>
    <mergeCell ref="A38:B38"/>
    <mergeCell ref="A39:C39"/>
    <mergeCell ref="A40:C40"/>
    <mergeCell ref="A41:C41"/>
    <mergeCell ref="A42:C42"/>
    <mergeCell ref="A43:C43"/>
    <mergeCell ref="A44:C44"/>
    <mergeCell ref="A45:C45"/>
    <mergeCell ref="A46:C46"/>
    <mergeCell ref="A48:C48"/>
    <mergeCell ref="A47:C47"/>
    <mergeCell ref="A49:C49"/>
    <mergeCell ref="A33:C33"/>
    <mergeCell ref="A2:C2"/>
    <mergeCell ref="A21:B21"/>
    <mergeCell ref="A22:C22"/>
    <mergeCell ref="A25:C25"/>
    <mergeCell ref="A32:B32"/>
  </mergeCells>
  <dataValidations xWindow="617" yWindow="839" count="21">
    <dataValidation allowBlank="1" showInputMessage="1" showErrorMessage="1" prompt="wymaga: Ewidencji Środków pieniężnych, dowolny moduł samodzielny min. w wersji srebrnej (patrz powyżej zaznaczone na zielono)" sqref="E18" xr:uid="{00000000-0002-0000-0200-000000000000}"/>
    <dataValidation allowBlank="1" showInputMessage="1" showErrorMessage="1" prompt="na licencji musi być inny, dowolny moduł, którego działanie chcemy oprocesować" sqref="E14" xr:uid="{00000000-0002-0000-0200-000001000000}"/>
    <dataValidation allowBlank="1" showInputMessage="1" showErrorMessage="1" prompt="wymaga min. jednego modułu pozwalającego_x000a_generować dokumenty sprzedaży (generujące_x000a_należności – Faktury, Księga Podatkowa_x000a_oraz Księga Handlowa)" sqref="E8" xr:uid="{00000000-0002-0000-0200-000002000000}"/>
    <dataValidation allowBlank="1" showInputMessage="1" showErrorMessage="1" prompt="można dokupić jeżeli na licencji jest już min. jedno stanowsiko dowolnego modułu samodzielnego min. w wersji srebrnej (patrz powyżej zaznaczone na zielono)" sqref="E7" xr:uid="{00000000-0002-0000-0200-000003000000}"/>
    <dataValidation allowBlank="1" showErrorMessage="1" prompt="wpisz wartość rabatu" sqref="D79" xr:uid="{00000000-0002-0000-0200-000004000000}"/>
    <dataValidation allowBlank="1" showErrorMessage="1" prompt="zaznacz odpowiednią opcję" sqref="F79 F41:F45 E64:F64 F50:F63" xr:uid="{00000000-0002-0000-0200-000005000000}"/>
    <dataValidation allowBlank="1" showErrorMessage="1" sqref="F37" xr:uid="{00000000-0002-0000-0200-000006000000}"/>
    <dataValidation allowBlank="1" showErrorMessage="1" prompt="wpisz liczbę baz" sqref="F34" xr:uid="{00000000-0002-0000-0200-000007000000}"/>
    <dataValidation allowBlank="1" showErrorMessage="1" prompt="wpisz maksymalną liczbę stanowisk z największej bazy,_x000a_PRZYKŁAD:_x000a_Pulpit Kierownika będzie użytkowny w 3 bazach:_x000a_w 1. - 5 dostępów_x000a_w 2. - 3 dostepy_x000a_w 3. - 9 dostępów_x000a_w polu wpisujemy 9" sqref="F27" xr:uid="{00000000-0002-0000-0200-000008000000}"/>
    <dataValidation allowBlank="1" showInputMessage="1" showErrorMessage="1" prompt="wpisz maksymalną liczbę kierowników z największej bazy,_x000a_PRZYKŁAD:_x000a_P.Kierownika będzie użytkowny w 2 bazach:_x000a_w 1. - 5 dostępów, w 2. - 3 dostępy_x000a_zatem wpisujemy 5" sqref="E27" xr:uid="{00000000-0002-0000-0200-000009000000}"/>
    <dataValidation allowBlank="1" showInputMessage="1" showErrorMessage="1" prompt="wpisz liczbę baz" sqref="E34" xr:uid="{00000000-0002-0000-0200-00000A000000}"/>
    <dataValidation allowBlank="1" showInputMessage="1" showErrorMessage="1" prompt="wpisz wartość rabatu" sqref="C79" xr:uid="{00000000-0002-0000-0200-00000B000000}"/>
    <dataValidation allowBlank="1" showInputMessage="1" showErrorMessage="1" prompt="wpisz liczbę wszystkich baz instalacji wielofirmowej" sqref="E77" xr:uid="{00000000-0002-0000-0200-00000C000000}"/>
    <dataValidation type="list" allowBlank="1" showInputMessage="1" showErrorMessage="1" sqref="E79" xr:uid="{00000000-0002-0000-0200-00000D000000}">
      <formula1>$K$15:$K$16</formula1>
    </dataValidation>
    <dataValidation allowBlank="1" showInputMessage="1" showErrorMessage="1" promptTitle="Wartość wyliczy się samodzielnie" prompt="pamiętaj, że cena jest zależna od łącznej liczby stanowisk modułów podstawowych, wprowadź je wszystkie" sqref="D23" xr:uid="{00000000-0002-0000-0200-00000E000000}"/>
    <dataValidation type="list" allowBlank="1" showInputMessage="1" showErrorMessage="1" sqref="B37" xr:uid="{00000000-0002-0000-0200-00000F000000}">
      <formula1>"TAK,NIE"</formula1>
    </dataValidation>
    <dataValidation allowBlank="1" showErrorMessage="1" prompt="wpisz liczbę tabel" sqref="F67" xr:uid="{00000000-0002-0000-0200-000010000000}"/>
    <dataValidation allowBlank="1" showInputMessage="1" showErrorMessage="1" prompt="wpisz liczbę tabel" sqref="E67" xr:uid="{00000000-0002-0000-0200-000011000000}"/>
    <dataValidation allowBlank="1" showInputMessage="1" showErrorMessage="1" prompt="Pulpit Klienta Biura Rachunkowego dostępny jest TYLKO w abonamencie miesięcznym lub rocznym" sqref="A37" xr:uid="{00000000-0002-0000-0200-000012000000}"/>
    <dataValidation allowBlank="1" showInputMessage="1" showErrorMessage="1" prompt="wpisz liczbę stanowisk" sqref="E3" xr:uid="{3FBE10A2-C147-4BEA-B79A-D1A7D0A9F348}"/>
    <dataValidation allowBlank="1" showInputMessage="1" showErrorMessage="1" prompt="dowolny moduł, który chcemy &quot;poglądać&quot;" sqref="E17" xr:uid="{5DAC4A78-AA45-4C83-BA3A-AE52FA03169D}"/>
  </dataValidations>
  <hyperlinks>
    <hyperlink ref="B69" r:id="rId1" display="https://www.enova.pl/aktualnosci/pakiety-dla-biur-rachunkowych/" xr:uid="{00000000-0004-0000-02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xWindow="617" yWindow="839" count="27">
        <x14:dataValidation type="list" allowBlank="1" showInputMessage="1" showErrorMessage="1" prompt="pakietów nie można łączyć, klient może kupić tylko jeden pakiet" xr:uid="{00000000-0002-0000-0200-000014000000}">
          <x14:formula1>
            <xm:f>'Cennik enova365'!$K$13:$K$14</xm:f>
          </x14:formula1>
          <xm:sqref>E69:E73</xm:sqref>
        </x14:dataValidation>
        <x14:dataValidation type="list" allowBlank="1" showInputMessage="1" showErrorMessage="1" prompt="dowolny moduł min. w wersji złotej_x000a_(przynajmniej jedno, dowolne stanowsiko w ramach licencji Klienta musi być multi)" xr:uid="{00000000-0002-0000-0200-000015000000}">
          <x14:formula1>
            <xm:f>'Cennik enova365'!$K$13:$K$14</xm:f>
          </x14:formula1>
          <xm:sqref>E59</xm:sqref>
        </x14:dataValidation>
        <x14:dataValidation type="list" allowBlank="1" showInputMessage="1" showErrorMessage="1" prompt="wybierz przedział" xr:uid="{00000000-0002-0000-0200-000016000000}">
          <x14:formula1>
            <xm:f>'Cennik enova365'!$A$89:$A$94</xm:f>
          </x14:formula1>
          <xm:sqref>E26</xm:sqref>
        </x14:dataValidation>
        <x14:dataValidation type="list" allowBlank="1" showInputMessage="1" showErrorMessage="1" prompt="dowolny moduł min. w wersji złotej_x000a_(przynajmniej jedno, dowolne stanowsiko w ramach licencji Klienta musi być złote)" xr:uid="{00000000-0002-0000-0200-000017000000}">
          <x14:formula1>
            <xm:f>'Cennik enova365'!$K$13:$K$14</xm:f>
          </x14:formula1>
          <xm:sqref>E60 E62:E63</xm:sqref>
        </x14:dataValidation>
        <x14:dataValidation type="list" allowBlank="1" showInputMessage="1" showErrorMessage="1" prompt="wymaga min. 1 stanowiska modułu CRM lub Projekty_x000a_" xr:uid="{00000000-0002-0000-0200-000018000000}">
          <x14:formula1>
            <xm:f>'Cennik enova365'!$K$13:$K$14</xm:f>
          </x14:formula1>
          <xm:sqref>E61</xm:sqref>
        </x14:dataValidation>
        <x14:dataValidation type="list" allowBlank="1" showInputMessage="1" showErrorMessage="1" prompt="wymaga min. po 1 stanowisku modułów Kadry Płace i Handel" xr:uid="{00000000-0002-0000-0200-000019000000}">
          <x14:formula1>
            <xm:f>'Cennik enova365'!$K$13:$K$14</xm:f>
          </x14:formula1>
          <xm:sqref>E46</xm:sqref>
        </x14:dataValidation>
        <x14:dataValidation type="list" allowBlank="1" showInputMessage="1" showErrorMessage="1" prompt="wymaga min. 1 stanowisko modułu Handel lub Faktury" xr:uid="{00000000-0002-0000-0200-00001B000000}">
          <x14:formula1>
            <xm:f>'Cennik enova365'!$K$13:$K$14</xm:f>
          </x14:formula1>
          <xm:sqref>E56 E58</xm:sqref>
        </x14:dataValidation>
        <x14:dataValidation type="list" allowBlank="1" showInputMessage="1" showErrorMessage="1" prompt="dowolny moduł min. w wersji srebrnej" xr:uid="{00000000-0002-0000-0200-00001C000000}">
          <x14:formula1>
            <xm:f>'Cennik enova365'!$K$13:$K$14</xm:f>
          </x14:formula1>
          <xm:sqref>E57</xm:sqref>
        </x14:dataValidation>
        <x14:dataValidation type="list" allowBlank="1" showInputMessage="1" showErrorMessage="1" prompt="wskaż przedział (ilu klientów biura ma korzystać z tego Pulpitu)" xr:uid="{00000000-0002-0000-0200-000020000000}">
          <x14:formula1>
            <xm:f>'Cennik enova365'!$A$115:$A$119</xm:f>
          </x14:formula1>
          <xm:sqref>E37</xm:sqref>
        </x14:dataValidation>
        <x14:dataValidation type="list" allowBlank="1" showInputMessage="1" showErrorMessage="1" xr:uid="{00000000-0002-0000-0200-000021000000}">
          <x14:formula1>
            <xm:f>'Cennik enova365'!$K$13:$K$14</xm:f>
          </x14:formula1>
          <xm:sqref>B34</xm:sqref>
        </x14:dataValidation>
        <x14:dataValidation type="list" allowBlank="1" showInputMessage="1" showErrorMessage="1" prompt="wybierz wersję" xr:uid="{00000000-0002-0000-0200-000022000000}">
          <x14:formula1>
            <xm:f>'Cennik enova365'!$K$4</xm:f>
          </x14:formula1>
          <xm:sqref>B17:B20 B3:B15</xm:sqref>
        </x14:dataValidation>
        <x14:dataValidation type="list" allowBlank="1" showInputMessage="1" showErrorMessage="1" prompt="wybierz przedział" xr:uid="{00000000-0002-0000-0200-000023000000}">
          <x14:formula1>
            <xm:f>'Cennik enova365'!$A$107:$A$112</xm:f>
          </x14:formula1>
          <xm:sqref>E28:E30</xm:sqref>
        </x14:dataValidation>
        <x14:dataValidation type="list"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xr:uid="{00000000-0002-0000-0200-000024000000}">
          <x14:formula1>
            <xm:f>'Cennik enova365'!$K$13:$K$14</xm:f>
          </x14:formula1>
          <xm:sqref>E23</xm:sqref>
        </x14:dataValidation>
        <x14:dataValidation type="list" allowBlank="1" showInputMessage="1" showErrorMessage="1" prompt="wymaga min. 1 stanowiska modułu Workflow w wariacie platynowym oraz innego Pulpitu" xr:uid="{00000000-0002-0000-0200-000025000000}">
          <x14:formula1>
            <xm:f>'Cennik enova365'!$K$13:$K$14</xm:f>
          </x14:formula1>
          <xm:sqref>B28</xm:sqref>
        </x14:dataValidation>
        <x14:dataValidation type="list" allowBlank="1" showInputMessage="1" showErrorMessage="1" prompt="wymaga min. 1 stanowiska modułu Kadry Płace w wariacie złotym lub platynowym" xr:uid="{00000000-0002-0000-0200-000026000000}">
          <x14:formula1>
            <xm:f>'Cennik enova365'!$K$13:$K$14</xm:f>
          </x14:formula1>
          <xm:sqref>B26</xm:sqref>
        </x14:dataValidation>
        <x14:dataValidation type="list" allowBlank="1" showInputMessage="1" showErrorMessage="1" prompt="wymaga Pulpitu Pracownika oraz min. 1 stanowiska modułu Kadry Płace w wariacie złotym lub platynowym" xr:uid="{00000000-0002-0000-0200-000027000000}">
          <x14:formula1>
            <xm:f>'Cennik enova365'!$K$13:$K$14</xm:f>
          </x14:formula1>
          <xm:sqref>B27</xm:sqref>
        </x14:dataValidation>
        <x14:dataValidation type="list" allowBlank="1" showInputMessage="1" showErrorMessage="1" prompt="wymaga: Ewidencji Środków pieniężnych, dowolny moduł samodzielny min. w wersji srebrnej (patrz powyżej zaznaczone na zielono)" xr:uid="{00000000-0002-0000-0200-000028000000}">
          <x14:formula1>
            <xm:f>'Cennik enova365'!$K$13:$K$14</xm:f>
          </x14:formula1>
          <xm:sqref>E52:E53</xm:sqref>
        </x14:dataValidation>
        <x14:dataValidation type="list" allowBlank="1" showInputMessage="1" showErrorMessage="1" prompt="zaznacz odpowiednią opcję" xr:uid="{00000000-0002-0000-0200-000029000000}">
          <x14:formula1>
            <xm:f>'Cennik enova365'!$K$13:$K$14</xm:f>
          </x14:formula1>
          <xm:sqref>B67</xm:sqref>
        </x14:dataValidation>
        <x14:dataValidation type="list" allowBlank="1" showInputMessage="1" showErrorMessage="1" prompt="wymaga modułu BI oraz innego Pulpitu" xr:uid="{00000000-0002-0000-0200-00002A000000}">
          <x14:formula1>
            <xm:f>'Cennik enova365'!$K$13:$K$14</xm:f>
          </x14:formula1>
          <xm:sqref>B29</xm:sqref>
        </x14:dataValidation>
        <x14:dataValidation type="list" allowBlank="1" showInputMessage="1" showErrorMessage="1" prompt="wymaga min. po 1 stanowisku modułów Praca Hybrydowa w wariacie złotym lub platynowym, Kadry Płace w wariacie złotym lub platynowym oraz Pulpitu Pracownika_x000a_" xr:uid="{00000000-0002-0000-0200-00002B000000}">
          <x14:formula1>
            <xm:f>'Cennik enova365'!$K$13:$K$14</xm:f>
          </x14:formula1>
          <xm:sqref>B30</xm:sqref>
        </x14:dataValidation>
        <x14:dataValidation type="list" allowBlank="1" showInputMessage="1" showErrorMessage="1" prompt="Wybierz wersję._x000a_W wersji rozszerzonej wymaga min. 1_x000a_stanowiska modułu Faktury na licencji BR" xr:uid="{00000000-0002-0000-0200-00002C000000}">
          <x14:formula1>
            <xm:f>'Cennik enova365'!$B$114:$C$114</xm:f>
          </x14:formula1>
          <xm:sqref>C37</xm:sqref>
        </x14:dataValidation>
        <x14:dataValidation type="list" allowBlank="1" showInputMessage="1" showErrorMessage="1" prompt="abonament roczny, wybierz przedział" xr:uid="{00000000-0002-0000-0200-00002E000000}">
          <x14:formula1>
            <xm:f>'Cennik enova365'!$K$13:$K$14</xm:f>
          </x14:formula1>
          <xm:sqref>B82</xm:sqref>
        </x14:dataValidation>
        <x14:dataValidation type="list" allowBlank="1" showInputMessage="1" showErrorMessage="1" prompt="wymagany Pulpit Pracownika" xr:uid="{42638965-4101-4CC3-BD2D-D2D1E0BA916E}">
          <x14:formula1>
            <xm:f>'Cennik enova365'!$K$13:$K$14</xm:f>
          </x14:formula1>
          <xm:sqref>B31</xm:sqref>
        </x14:dataValidation>
        <x14:dataValidation type="list" allowBlank="1" showInputMessage="1" showErrorMessage="1" prompt="wymaga min. 1 stanowiska modułu Kadry Płace" xr:uid="{82BF5077-D3A2-4BEA-9DDA-15BF920DB0FC}">
          <x14:formula1>
            <xm:f>'Cennik enova365'!$K$13:$K$14</xm:f>
          </x14:formula1>
          <xm:sqref>E40:E45 E47:E49</xm:sqref>
        </x14:dataValidation>
        <x14:dataValidation type="list" allowBlank="1" showInputMessage="1" showErrorMessage="1" prompt="wymaga min. 1 stanowiska modułu Księga Handlowa" xr:uid="{A18EB8B6-2905-405C-8F45-5279921E6543}">
          <x14:formula1>
            <xm:f>'Cennik enova365'!$K$13:$K$14</xm:f>
          </x14:formula1>
          <xm:sqref>E50:E51</xm:sqref>
        </x14:dataValidation>
        <x14:dataValidation type="list" allowBlank="1" showInputMessage="1" showErrorMessage="1" prompt="wymaga min. 1 stanowiska modułu Księga Handlowa lub Księga Podatkowa" xr:uid="{A57A44BA-4474-4D48-A855-CE94A29D1C13}">
          <x14:formula1>
            <xm:f>'Cennik enova365'!$K$13:$K$14</xm:f>
          </x14:formula1>
          <xm:sqref>E54:E55</xm:sqref>
        </x14:dataValidation>
        <x14:dataValidation type="list" allowBlank="1" showInputMessage="1" showErrorMessage="1" prompt="abonament roczny, wybierz przedział" xr:uid="{00000000-0002-0000-0200-00002D000000}">
          <x14:formula1>
            <xm:f>'Cennik enova365'!$A$161:$A$173</xm:f>
          </x14:formula1>
          <xm:sqref>E82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0"/>
  <sheetViews>
    <sheetView zoomScale="80" zoomScaleNormal="80" workbookViewId="0">
      <selection activeCell="J4" sqref="J4"/>
    </sheetView>
  </sheetViews>
  <sheetFormatPr defaultColWidth="9.109375" defaultRowHeight="14.4" x14ac:dyDescent="0.3"/>
  <cols>
    <col min="1" max="1" width="48.88671875" style="15" customWidth="1"/>
    <col min="2" max="2" width="23.109375" style="15" customWidth="1"/>
    <col min="3" max="3" width="17.5546875" style="15" customWidth="1"/>
    <col min="4" max="4" width="18.109375" style="15" customWidth="1"/>
    <col min="5" max="5" width="20.44140625" style="15" customWidth="1"/>
    <col min="6" max="6" width="12.33203125" style="15" customWidth="1"/>
    <col min="7" max="7" width="24.5546875" style="15" customWidth="1"/>
    <col min="8" max="8" width="12.5546875" style="15" customWidth="1"/>
    <col min="9" max="9" width="9.109375" style="15"/>
    <col min="10" max="10" width="74.6640625" style="15" customWidth="1"/>
    <col min="11" max="16384" width="9.109375" style="15"/>
  </cols>
  <sheetData>
    <row r="1" spans="1:10" ht="78" x14ac:dyDescent="0.3">
      <c r="A1" s="6" t="s">
        <v>11</v>
      </c>
      <c r="B1" s="100" t="s">
        <v>12</v>
      </c>
      <c r="C1" s="8" t="s">
        <v>84</v>
      </c>
      <c r="D1" s="8" t="s">
        <v>85</v>
      </c>
      <c r="E1" s="9" t="s">
        <v>153</v>
      </c>
      <c r="F1" s="198" t="s">
        <v>86</v>
      </c>
      <c r="G1" s="10" t="s">
        <v>13</v>
      </c>
      <c r="H1" s="104" t="s">
        <v>25</v>
      </c>
      <c r="J1" s="202" t="s">
        <v>155</v>
      </c>
    </row>
    <row r="2" spans="1:10" ht="15.6" x14ac:dyDescent="0.3">
      <c r="A2" s="270" t="s">
        <v>158</v>
      </c>
      <c r="B2" s="271"/>
      <c r="C2" s="272"/>
      <c r="D2" s="11"/>
      <c r="E2" s="12"/>
      <c r="F2" s="13"/>
      <c r="G2" s="14"/>
      <c r="H2" s="15">
        <f>IF(G30&gt;0,1,0)</f>
        <v>0</v>
      </c>
    </row>
    <row r="3" spans="1:10" ht="15.6" x14ac:dyDescent="0.3">
      <c r="A3" s="200" t="s">
        <v>108</v>
      </c>
      <c r="B3" s="25" t="s">
        <v>41</v>
      </c>
      <c r="C3" s="17">
        <f>VLOOKUP($A3,moduly_podstawowe[],8,FALSE)</f>
        <v>9480</v>
      </c>
      <c r="D3" s="17">
        <f>VLOOKUP($A3,moduly_podstawowe[],9,FALSE)</f>
        <v>9950</v>
      </c>
      <c r="E3" s="18">
        <v>0</v>
      </c>
      <c r="F3" s="18">
        <v>0</v>
      </c>
      <c r="G3" s="19">
        <f>IF(F3=0,C3*E3,IF(OR(AND(E3=0,F3&lt;&gt;0),F3&gt;E3),"błąd",((E3-F3)*C3)+(D3*F3)))</f>
        <v>0</v>
      </c>
      <c r="H3" s="15">
        <f t="shared" ref="H3:H30" si="0">IF(G3&gt;0,1,0)</f>
        <v>0</v>
      </c>
    </row>
    <row r="4" spans="1:10" ht="15.6" x14ac:dyDescent="0.3">
      <c r="A4" s="200" t="s">
        <v>109</v>
      </c>
      <c r="B4" s="25" t="s">
        <v>41</v>
      </c>
      <c r="C4" s="17">
        <f>VLOOKUP($A4,moduly_podstawowe[],8,FALSE)</f>
        <v>1830</v>
      </c>
      <c r="D4" s="17">
        <f>VLOOKUP($A4,moduly_podstawowe[],9,FALSE)</f>
        <v>1930</v>
      </c>
      <c r="E4" s="18">
        <v>0</v>
      </c>
      <c r="F4" s="18">
        <v>0</v>
      </c>
      <c r="G4" s="19">
        <f t="shared" ref="G4:G26" si="1">IF(F4=0,C4*E4,IF(OR(AND(E4=0,F4&lt;&gt;0),F4&gt;E4),"błąd",((E4-F4)*C4)+(D4*F4)))</f>
        <v>0</v>
      </c>
      <c r="H4" s="15">
        <f t="shared" si="0"/>
        <v>0</v>
      </c>
      <c r="J4" s="202"/>
    </row>
    <row r="5" spans="1:10" ht="15.6" x14ac:dyDescent="0.3">
      <c r="A5" s="200" t="s">
        <v>110</v>
      </c>
      <c r="B5" s="25" t="s">
        <v>41</v>
      </c>
      <c r="C5" s="17">
        <f>VLOOKUP($A5,moduly_podstawowe[],8,FALSE)</f>
        <v>8630</v>
      </c>
      <c r="D5" s="17">
        <f>VLOOKUP($A5,moduly_podstawowe[],9,FALSE)</f>
        <v>9060</v>
      </c>
      <c r="E5" s="18">
        <v>0</v>
      </c>
      <c r="F5" s="18">
        <v>0</v>
      </c>
      <c r="G5" s="19">
        <f t="shared" si="1"/>
        <v>0</v>
      </c>
      <c r="H5" s="15">
        <f t="shared" si="0"/>
        <v>0</v>
      </c>
      <c r="J5" s="202"/>
    </row>
    <row r="6" spans="1:10" ht="15.6" x14ac:dyDescent="0.3">
      <c r="A6" s="200" t="s">
        <v>111</v>
      </c>
      <c r="B6" s="25" t="s">
        <v>41</v>
      </c>
      <c r="C6" s="17">
        <f>VLOOKUP($A6,moduly_podstawowe[],8,FALSE)</f>
        <v>4380</v>
      </c>
      <c r="D6" s="17">
        <f>VLOOKUP($A6,moduly_podstawowe[],9,FALSE)</f>
        <v>4590</v>
      </c>
      <c r="E6" s="18">
        <v>0</v>
      </c>
      <c r="F6" s="18">
        <v>0</v>
      </c>
      <c r="G6" s="19">
        <f t="shared" si="1"/>
        <v>0</v>
      </c>
      <c r="H6" s="15">
        <f t="shared" si="0"/>
        <v>0</v>
      </c>
      <c r="J6" s="202"/>
    </row>
    <row r="7" spans="1:10" ht="31.2" x14ac:dyDescent="0.3">
      <c r="A7" s="156" t="s">
        <v>112</v>
      </c>
      <c r="B7" s="25" t="s">
        <v>41</v>
      </c>
      <c r="C7" s="17">
        <f>VLOOKUP($A7,moduly_podstawowe[],8,FALSE)</f>
        <v>695</v>
      </c>
      <c r="D7" s="17">
        <f>VLOOKUP($A7,moduly_podstawowe[],9,FALSE)</f>
        <v>785</v>
      </c>
      <c r="E7" s="18">
        <v>0</v>
      </c>
      <c r="F7" s="18">
        <v>0</v>
      </c>
      <c r="G7" s="19">
        <f t="shared" si="1"/>
        <v>0</v>
      </c>
      <c r="H7" s="15">
        <v>0</v>
      </c>
      <c r="J7" s="202"/>
    </row>
    <row r="8" spans="1:10" ht="15.6" x14ac:dyDescent="0.3">
      <c r="A8" s="156" t="s">
        <v>154</v>
      </c>
      <c r="B8" s="25" t="s">
        <v>41</v>
      </c>
      <c r="C8" s="17">
        <f>VLOOKUP($A8,moduly_podstawowe[],8,FALSE)</f>
        <v>1570</v>
      </c>
      <c r="D8" s="17">
        <f>VLOOKUP($A8,moduly_podstawowe[],9,FALSE)</f>
        <v>1790</v>
      </c>
      <c r="E8" s="18">
        <v>0</v>
      </c>
      <c r="F8" s="18">
        <v>0</v>
      </c>
      <c r="G8" s="19">
        <f t="shared" si="1"/>
        <v>0</v>
      </c>
      <c r="H8" s="15">
        <v>0</v>
      </c>
      <c r="J8" s="202"/>
    </row>
    <row r="9" spans="1:10" ht="15.6" x14ac:dyDescent="0.3">
      <c r="A9" s="200" t="s">
        <v>113</v>
      </c>
      <c r="B9" s="25" t="s">
        <v>41</v>
      </c>
      <c r="C9" s="17">
        <f>VLOOKUP($A9,moduly_podstawowe[],8,FALSE)</f>
        <v>2620</v>
      </c>
      <c r="D9" s="17">
        <f>VLOOKUP($A9,moduly_podstawowe[],9,FALSE)</f>
        <v>2760</v>
      </c>
      <c r="E9" s="18">
        <v>0</v>
      </c>
      <c r="F9" s="18">
        <v>0</v>
      </c>
      <c r="G9" s="19">
        <f t="shared" si="1"/>
        <v>0</v>
      </c>
      <c r="H9" s="15">
        <f t="shared" si="0"/>
        <v>0</v>
      </c>
    </row>
    <row r="10" spans="1:10" ht="15.6" x14ac:dyDescent="0.3">
      <c r="A10" s="200" t="s">
        <v>114</v>
      </c>
      <c r="B10" s="25" t="s">
        <v>41</v>
      </c>
      <c r="C10" s="17">
        <f>VLOOKUP($A10,moduly_podstawowe[],8,FALSE)</f>
        <v>6480</v>
      </c>
      <c r="D10" s="17">
        <f>VLOOKUP($A10,moduly_podstawowe[],9,FALSE)</f>
        <v>6790</v>
      </c>
      <c r="E10" s="18">
        <v>0</v>
      </c>
      <c r="F10" s="18">
        <v>0</v>
      </c>
      <c r="G10" s="19">
        <f>IF(AND((E9+F9&gt;0),(E10+F10&gt;0)),"usuń Faktury",IF(F10=0,C10*E10,IF(OR(AND(E10=0,F10&lt;&gt;0),F10&gt;E10),"błąd",((E10-F10)*C10)+(D10*F10))))</f>
        <v>0</v>
      </c>
      <c r="H10" s="15">
        <f t="shared" si="0"/>
        <v>0</v>
      </c>
      <c r="J10" s="206" t="str">
        <f>IF(G10="usuń Faktury","Faktur i Handlu nie można łączyć w ramach jednej licencji"," ")</f>
        <v xml:space="preserve"> </v>
      </c>
    </row>
    <row r="11" spans="1:10" ht="15.6" x14ac:dyDescent="0.3">
      <c r="A11" s="84" t="s">
        <v>115</v>
      </c>
      <c r="B11" s="25" t="s">
        <v>41</v>
      </c>
      <c r="C11" s="17">
        <f>VLOOKUP($A11,moduly_podstawowe[],8,FALSE)</f>
        <v>7410</v>
      </c>
      <c r="D11" s="17">
        <f>VLOOKUP($A11,moduly_podstawowe[],9,FALSE)</f>
        <v>7780</v>
      </c>
      <c r="E11" s="18">
        <v>0</v>
      </c>
      <c r="F11" s="18">
        <v>0</v>
      </c>
      <c r="G11" s="19">
        <f t="shared" si="1"/>
        <v>0</v>
      </c>
      <c r="H11" s="15">
        <f t="shared" si="0"/>
        <v>0</v>
      </c>
    </row>
    <row r="12" spans="1:10" ht="15.6" x14ac:dyDescent="0.3">
      <c r="A12" s="84" t="s">
        <v>116</v>
      </c>
      <c r="B12" s="25" t="s">
        <v>41</v>
      </c>
      <c r="C12" s="17">
        <f>VLOOKUP($A12,moduly_podstawowe[],8,FALSE)</f>
        <v>6010</v>
      </c>
      <c r="D12" s="17">
        <f>VLOOKUP($A12,moduly_podstawowe[],9,FALSE)</f>
        <v>6910</v>
      </c>
      <c r="E12" s="18">
        <v>0</v>
      </c>
      <c r="F12" s="18">
        <v>0</v>
      </c>
      <c r="G12" s="19">
        <f t="shared" si="1"/>
        <v>0</v>
      </c>
      <c r="H12" s="15">
        <f t="shared" si="0"/>
        <v>0</v>
      </c>
    </row>
    <row r="13" spans="1:10" ht="15.6" x14ac:dyDescent="0.3">
      <c r="A13" s="200" t="s">
        <v>117</v>
      </c>
      <c r="B13" s="25" t="s">
        <v>41</v>
      </c>
      <c r="C13" s="17">
        <f>VLOOKUP($A13,moduly_podstawowe[],8,FALSE)</f>
        <v>4510</v>
      </c>
      <c r="D13" s="17">
        <f>VLOOKUP($A13,moduly_podstawowe[],9,FALSE)</f>
        <v>4730</v>
      </c>
      <c r="E13" s="18">
        <v>0</v>
      </c>
      <c r="F13" s="18">
        <v>0</v>
      </c>
      <c r="G13" s="19">
        <f t="shared" si="1"/>
        <v>0</v>
      </c>
      <c r="H13" s="15">
        <f>IF(G13&gt;0,1,0)</f>
        <v>0</v>
      </c>
      <c r="J13" s="202" t="str">
        <f>IF(E13+F13&gt;0,"zawiera pełną funcjonalność e-mail"," ")</f>
        <v xml:space="preserve"> </v>
      </c>
    </row>
    <row r="14" spans="1:10" ht="15.6" x14ac:dyDescent="0.3">
      <c r="A14" s="200" t="s">
        <v>118</v>
      </c>
      <c r="B14" s="25" t="s">
        <v>41</v>
      </c>
      <c r="C14" s="17">
        <f>VLOOKUP($A14,moduly_podstawowe[],8,FALSE)</f>
        <v>3540</v>
      </c>
      <c r="D14" s="17">
        <f>VLOOKUP($A14,moduly_podstawowe[],9,FALSE)</f>
        <v>3710</v>
      </c>
      <c r="E14" s="18">
        <v>0</v>
      </c>
      <c r="F14" s="18">
        <v>0</v>
      </c>
      <c r="G14" s="19">
        <f t="shared" si="1"/>
        <v>0</v>
      </c>
      <c r="H14" s="15">
        <f t="shared" si="0"/>
        <v>0</v>
      </c>
    </row>
    <row r="15" spans="1:10" ht="15.6" x14ac:dyDescent="0.3">
      <c r="A15" s="200" t="s">
        <v>119</v>
      </c>
      <c r="B15" s="25" t="s">
        <v>41</v>
      </c>
      <c r="C15" s="17">
        <f>VLOOKUP($A15,moduly_podstawowe[],8,FALSE)</f>
        <v>3540</v>
      </c>
      <c r="D15" s="17">
        <f>VLOOKUP($A15,moduly_podstawowe[],9,FALSE)</f>
        <v>3710</v>
      </c>
      <c r="E15" s="18">
        <v>0</v>
      </c>
      <c r="F15" s="18">
        <v>0</v>
      </c>
      <c r="G15" s="19">
        <f t="shared" si="1"/>
        <v>0</v>
      </c>
      <c r="H15" s="15">
        <f t="shared" si="0"/>
        <v>0</v>
      </c>
    </row>
    <row r="16" spans="1:10" ht="15.6" x14ac:dyDescent="0.3">
      <c r="A16" s="200" t="s">
        <v>120</v>
      </c>
      <c r="B16" s="25" t="s">
        <v>41</v>
      </c>
      <c r="C16" s="17">
        <f>VLOOKUP($A16,moduly_podstawowe[],8,FALSE)</f>
        <v>3540</v>
      </c>
      <c r="D16" s="17">
        <f>VLOOKUP($A16,moduly_podstawowe[],9,FALSE)</f>
        <v>3710</v>
      </c>
      <c r="E16" s="18">
        <v>0</v>
      </c>
      <c r="F16" s="18">
        <v>0</v>
      </c>
      <c r="G16" s="19">
        <f t="shared" si="1"/>
        <v>0</v>
      </c>
      <c r="H16" s="15">
        <f>IF(G16&gt;0,1,0)</f>
        <v>0</v>
      </c>
    </row>
    <row r="17" spans="1:10" ht="15.6" x14ac:dyDescent="0.3">
      <c r="A17" s="200" t="s">
        <v>121</v>
      </c>
      <c r="B17" s="25" t="s">
        <v>41</v>
      </c>
      <c r="C17" s="17">
        <f>VLOOKUP($A17,moduly_podstawowe[],8,FALSE)</f>
        <v>5290</v>
      </c>
      <c r="D17" s="17">
        <f>VLOOKUP($A17,moduly_podstawowe[],9,FALSE)</f>
        <v>5550</v>
      </c>
      <c r="E17" s="18">
        <v>0</v>
      </c>
      <c r="F17" s="18">
        <v>0</v>
      </c>
      <c r="G17" s="19">
        <f t="shared" si="1"/>
        <v>0</v>
      </c>
      <c r="H17" s="15">
        <f t="shared" si="0"/>
        <v>0</v>
      </c>
    </row>
    <row r="18" spans="1:10" ht="15.6" x14ac:dyDescent="0.3">
      <c r="A18" s="200" t="s">
        <v>122</v>
      </c>
      <c r="B18" s="25" t="s">
        <v>41</v>
      </c>
      <c r="C18" s="17">
        <f>VLOOKUP($A18,moduly_podstawowe[],8,FALSE)</f>
        <v>7950</v>
      </c>
      <c r="D18" s="17">
        <f>VLOOKUP($A18,moduly_podstawowe[],9,FALSE)</f>
        <v>8350</v>
      </c>
      <c r="E18" s="18">
        <v>0</v>
      </c>
      <c r="F18" s="18">
        <v>0</v>
      </c>
      <c r="G18" s="19">
        <f t="shared" si="1"/>
        <v>0</v>
      </c>
      <c r="H18" s="15">
        <f t="shared" si="0"/>
        <v>0</v>
      </c>
      <c r="J18" s="202" t="str">
        <f>IF(E18+F18&gt;0,"zawiera pełną funcjonalność CRM oraz e-mail"," ")</f>
        <v xml:space="preserve"> </v>
      </c>
    </row>
    <row r="19" spans="1:10" ht="15.6" x14ac:dyDescent="0.3">
      <c r="A19" s="200" t="s">
        <v>229</v>
      </c>
      <c r="B19" s="25" t="s">
        <v>41</v>
      </c>
      <c r="C19" s="17">
        <f>VLOOKUP($A19,moduly_podstawowe[],8,FALSE)</f>
        <v>8340</v>
      </c>
      <c r="D19" s="17">
        <f>VLOOKUP($A19,moduly_podstawowe[],9,FALSE)</f>
        <v>9590</v>
      </c>
      <c r="E19" s="18">
        <v>0</v>
      </c>
      <c r="F19" s="18">
        <v>0</v>
      </c>
      <c r="G19" s="19">
        <f t="shared" si="1"/>
        <v>0</v>
      </c>
      <c r="H19" s="15">
        <f t="shared" si="0"/>
        <v>0</v>
      </c>
      <c r="J19" s="202"/>
    </row>
    <row r="20" spans="1:10" ht="15.6" x14ac:dyDescent="0.3">
      <c r="A20" s="200" t="s">
        <v>235</v>
      </c>
      <c r="B20" s="25" t="s">
        <v>41</v>
      </c>
      <c r="C20" s="17">
        <f>VLOOKUP($A20,moduly_podstawowe[],8,FALSE)</f>
        <v>3350</v>
      </c>
      <c r="D20" s="17">
        <f>VLOOKUP($A20,moduly_podstawowe[],9,FALSE)</f>
        <v>3850</v>
      </c>
      <c r="E20" s="18">
        <v>0</v>
      </c>
      <c r="F20" s="18">
        <v>0</v>
      </c>
      <c r="G20" s="19">
        <f t="shared" si="1"/>
        <v>0</v>
      </c>
      <c r="H20" s="15">
        <f t="shared" si="0"/>
        <v>0</v>
      </c>
      <c r="J20" s="202"/>
    </row>
    <row r="21" spans="1:10" ht="15.6" x14ac:dyDescent="0.3">
      <c r="A21" s="84" t="s">
        <v>123</v>
      </c>
      <c r="B21" s="25" t="s">
        <v>41</v>
      </c>
      <c r="C21" s="17">
        <f>VLOOKUP($A21,moduly_podstawowe[],8,FALSE)</f>
        <v>955</v>
      </c>
      <c r="D21" s="17">
        <f>VLOOKUP($A21,moduly_podstawowe[],9,FALSE)</f>
        <v>955</v>
      </c>
      <c r="E21" s="18">
        <v>0</v>
      </c>
      <c r="F21" s="18">
        <v>0</v>
      </c>
      <c r="G21" s="19">
        <f t="shared" si="1"/>
        <v>0</v>
      </c>
      <c r="H21" s="15">
        <f>IF(G21&gt;0,1,0)</f>
        <v>0</v>
      </c>
    </row>
    <row r="22" spans="1:10" ht="15.6" x14ac:dyDescent="0.3">
      <c r="A22" s="84" t="s">
        <v>124</v>
      </c>
      <c r="B22" s="25" t="s">
        <v>41</v>
      </c>
      <c r="C22" s="17">
        <f>VLOOKUP($A22,moduly_podstawowe[],8,FALSE)</f>
        <v>625</v>
      </c>
      <c r="D22" s="17">
        <f>VLOOKUP($A22,moduly_podstawowe[],9,FALSE)</f>
        <v>625</v>
      </c>
      <c r="E22" s="18">
        <v>0</v>
      </c>
      <c r="F22" s="18">
        <v>0</v>
      </c>
      <c r="G22" s="19">
        <f t="shared" si="1"/>
        <v>0</v>
      </c>
      <c r="H22" s="15">
        <f t="shared" si="0"/>
        <v>0</v>
      </c>
    </row>
    <row r="23" spans="1:10" ht="15.6" x14ac:dyDescent="0.3">
      <c r="A23" s="84" t="s">
        <v>125</v>
      </c>
      <c r="B23" s="25" t="s">
        <v>41</v>
      </c>
      <c r="C23" s="17">
        <f>VLOOKUP($A23,moduly_podstawowe[],8,FALSE)</f>
        <v>3980</v>
      </c>
      <c r="D23" s="17"/>
      <c r="E23" s="143">
        <v>0</v>
      </c>
      <c r="F23" s="145">
        <v>0</v>
      </c>
      <c r="G23" s="19">
        <f>IF(OR(E21&gt;0,E22&gt;0),C23,0)</f>
        <v>0</v>
      </c>
      <c r="H23" s="15">
        <f>IF(G23&gt;0,1,0)</f>
        <v>0</v>
      </c>
    </row>
    <row r="24" spans="1:10" ht="15.6" x14ac:dyDescent="0.3">
      <c r="A24" s="84" t="s">
        <v>126</v>
      </c>
      <c r="B24" s="25" t="s">
        <v>41</v>
      </c>
      <c r="C24" s="17">
        <f>VLOOKUP($A24,moduly_podstawowe[],8,FALSE)</f>
        <v>2650</v>
      </c>
      <c r="D24" s="17">
        <f>VLOOKUP($A24,moduly_podstawowe[],9,FALSE)</f>
        <v>2780</v>
      </c>
      <c r="E24" s="18">
        <v>0</v>
      </c>
      <c r="F24" s="18">
        <v>0</v>
      </c>
      <c r="G24" s="19">
        <f t="shared" si="1"/>
        <v>0</v>
      </c>
      <c r="H24" s="15">
        <f>IF(G24&gt;0,1,0)</f>
        <v>0</v>
      </c>
      <c r="J24" s="205" t="str">
        <f>IF(F24&gt;0,"jeżeli planujemy korzystać z Poglądu multi to na licencji musi być min. 1 st. multi w ramach poglądanego modułu"," ")</f>
        <v xml:space="preserve"> </v>
      </c>
    </row>
    <row r="25" spans="1:10" ht="15.6" x14ac:dyDescent="0.3">
      <c r="A25" s="84" t="s">
        <v>127</v>
      </c>
      <c r="B25" s="25" t="s">
        <v>41</v>
      </c>
      <c r="C25" s="17">
        <f>VLOOKUP($A25,moduly_podstawowe[],8,FALSE)</f>
        <v>7060</v>
      </c>
      <c r="D25" s="17">
        <f>VLOOKUP($A25,moduly_podstawowe[],9,FALSE)</f>
        <v>7420</v>
      </c>
      <c r="E25" s="18">
        <v>0</v>
      </c>
      <c r="F25" s="18">
        <v>0</v>
      </c>
      <c r="G25" s="19">
        <f t="shared" si="1"/>
        <v>0</v>
      </c>
      <c r="H25" s="15">
        <f t="shared" si="0"/>
        <v>0</v>
      </c>
    </row>
    <row r="26" spans="1:10" ht="15.6" x14ac:dyDescent="0.3">
      <c r="A26" s="200" t="s">
        <v>128</v>
      </c>
      <c r="B26" s="25" t="s">
        <v>41</v>
      </c>
      <c r="C26" s="17">
        <f>VLOOKUP($A26,moduly_podstawowe[],8,FALSE)</f>
        <v>2650</v>
      </c>
      <c r="D26" s="17">
        <f>VLOOKUP($A26,moduly_podstawowe[],9,FALSE)</f>
        <v>2780</v>
      </c>
      <c r="E26" s="18">
        <v>0</v>
      </c>
      <c r="F26" s="18">
        <v>0</v>
      </c>
      <c r="G26" s="19">
        <f t="shared" si="1"/>
        <v>0</v>
      </c>
      <c r="H26" s="15">
        <f t="shared" si="0"/>
        <v>0</v>
      </c>
    </row>
    <row r="27" spans="1:10" ht="15.6" x14ac:dyDescent="0.3">
      <c r="A27" s="84" t="s">
        <v>129</v>
      </c>
      <c r="B27" s="25" t="s">
        <v>41</v>
      </c>
      <c r="C27" s="17">
        <f>VLOOKUP($A27,moduly_podstawowe[],8,FALSE)</f>
        <v>1950</v>
      </c>
      <c r="D27" s="17">
        <f>VLOOKUP($A27,moduly_podstawowe[],9,FALSE)</f>
        <v>2040</v>
      </c>
      <c r="E27" s="18">
        <v>0</v>
      </c>
      <c r="F27" s="18">
        <v>0</v>
      </c>
      <c r="G27" s="19">
        <f>IF(F27=0,C27*E27,IF(OR(AND(E27=0,F27&lt;&gt;0),F27&gt;E27),"błąd",((E27-F27)*C27)+(D27*F27)))</f>
        <v>0</v>
      </c>
      <c r="H27" s="15">
        <f t="shared" si="0"/>
        <v>0</v>
      </c>
    </row>
    <row r="28" spans="1:10" ht="15.6" x14ac:dyDescent="0.3">
      <c r="A28" s="243" t="s">
        <v>221</v>
      </c>
      <c r="B28" s="25" t="s">
        <v>41</v>
      </c>
      <c r="C28" s="21" t="str">
        <f>VLOOKUP($A28,moduly_podstawowe[],8,FALSE)</f>
        <v>niedostępny</v>
      </c>
      <c r="D28" s="17">
        <f>VLOOKUP($A28,moduly_podstawowe[],9,FALSE)</f>
        <v>1340</v>
      </c>
      <c r="E28" s="35">
        <v>0</v>
      </c>
      <c r="F28" s="25">
        <v>0</v>
      </c>
      <c r="G28" s="19">
        <f>IF(E28=0,D28*F28,IF(OR(AND(F28=0,E28&lt;&gt;0),E28&gt;F28),"błąd"))</f>
        <v>0</v>
      </c>
      <c r="H28" s="15">
        <f t="shared" si="0"/>
        <v>0</v>
      </c>
      <c r="J28" s="245" t="str">
        <f>IF(G28="błąd","niedostępne w wersji okienkowej"," ")</f>
        <v xml:space="preserve"> </v>
      </c>
    </row>
    <row r="29" spans="1:10" ht="15.6" x14ac:dyDescent="0.3">
      <c r="A29" s="201" t="s">
        <v>223</v>
      </c>
      <c r="B29" s="25" t="s">
        <v>41</v>
      </c>
      <c r="C29" s="20">
        <f>VLOOKUP($A29,moduly_podstawowe[],8,FALSE)</f>
        <v>205</v>
      </c>
      <c r="D29" s="17">
        <f>VLOOKUP($A29,moduly_podstawowe[],9,FALSE)</f>
        <v>205</v>
      </c>
      <c r="E29" s="18">
        <v>0</v>
      </c>
      <c r="F29" s="25"/>
      <c r="G29" s="19">
        <f>IF(F29=0,C29*E29,IF(OR(AND(E29=0,F29&lt;&gt;0),F29&gt;E29),"błąd",((E29-F29)*C29)+(D29*F29)))</f>
        <v>0</v>
      </c>
      <c r="H29" s="15">
        <f t="shared" si="0"/>
        <v>0</v>
      </c>
      <c r="J29" s="244"/>
    </row>
    <row r="30" spans="1:10" ht="15.6" x14ac:dyDescent="0.3">
      <c r="A30" s="42" t="s">
        <v>28</v>
      </c>
      <c r="B30" s="85"/>
      <c r="C30" s="86"/>
      <c r="D30" s="86"/>
      <c r="E30" s="85"/>
      <c r="F30" s="87"/>
      <c r="G30" s="41">
        <f>SUM(G3:G29)</f>
        <v>0</v>
      </c>
      <c r="H30" s="15">
        <f t="shared" si="0"/>
        <v>0</v>
      </c>
    </row>
    <row r="31" spans="1:10" customFormat="1" ht="15.6" x14ac:dyDescent="0.3">
      <c r="A31" s="273" t="s">
        <v>156</v>
      </c>
      <c r="B31" s="274"/>
      <c r="C31" s="275"/>
      <c r="D31" s="31"/>
      <c r="E31" s="160"/>
      <c r="F31" s="161"/>
      <c r="G31" s="157"/>
      <c r="H31" s="123">
        <f>H33</f>
        <v>0</v>
      </c>
    </row>
    <row r="32" spans="1:10" customFormat="1" ht="15.6" x14ac:dyDescent="0.3">
      <c r="A32" s="158" t="s">
        <v>182</v>
      </c>
      <c r="B32" s="18" t="s">
        <v>5</v>
      </c>
      <c r="C32" s="17"/>
      <c r="D32" s="17" t="str">
        <f>IFERROR(VLOOKUP(SUM(E3:E20,E24:E27,F28),'Cennik enova365'!$A$146:$E$151,5,TRUE)," ")</f>
        <v xml:space="preserve"> </v>
      </c>
      <c r="E32" s="18" t="s">
        <v>4</v>
      </c>
      <c r="F32" s="36"/>
      <c r="G32" s="19">
        <f>IF(E32="TAK",D32,0)</f>
        <v>0</v>
      </c>
      <c r="H32" s="123">
        <f t="shared" ref="H32:H33" si="2">IF(G32&gt;0,1,0)</f>
        <v>0</v>
      </c>
    </row>
    <row r="33" spans="1:14" customFormat="1" ht="15.6" x14ac:dyDescent="0.3">
      <c r="A33" s="127" t="s">
        <v>90</v>
      </c>
      <c r="B33" s="159"/>
      <c r="C33" s="129"/>
      <c r="D33" s="129"/>
      <c r="E33" s="130"/>
      <c r="F33" s="131"/>
      <c r="G33" s="22">
        <f>SUM(G32:G32)</f>
        <v>0</v>
      </c>
      <c r="H33" s="123">
        <f t="shared" si="2"/>
        <v>0</v>
      </c>
    </row>
    <row r="34" spans="1:14" ht="47.25" customHeight="1" x14ac:dyDescent="0.3">
      <c r="A34" s="276" t="s">
        <v>162</v>
      </c>
      <c r="B34" s="287"/>
      <c r="C34" s="288"/>
      <c r="D34" s="101" t="s">
        <v>80</v>
      </c>
      <c r="E34" s="65"/>
      <c r="F34" s="66"/>
      <c r="G34" s="102"/>
      <c r="H34" s="15">
        <f>H62</f>
        <v>0</v>
      </c>
    </row>
    <row r="35" spans="1:14" ht="15.6" x14ac:dyDescent="0.3">
      <c r="A35" s="263" t="s">
        <v>100</v>
      </c>
      <c r="B35" s="264"/>
      <c r="C35" s="265"/>
      <c r="D35" s="20">
        <f>'Cennik enova365'!B56</f>
        <v>3770</v>
      </c>
      <c r="E35" s="18" t="s">
        <v>4</v>
      </c>
      <c r="F35" s="36"/>
      <c r="G35" s="19">
        <v>0</v>
      </c>
      <c r="H35" s="15">
        <f>IF(E35="TAK",1,0)</f>
        <v>0</v>
      </c>
      <c r="I35" s="297"/>
      <c r="J35" s="297"/>
      <c r="K35" s="297"/>
      <c r="L35" s="297"/>
      <c r="M35" s="297"/>
      <c r="N35" s="297"/>
    </row>
    <row r="36" spans="1:14" ht="15.6" x14ac:dyDescent="0.3">
      <c r="A36" s="263" t="s">
        <v>50</v>
      </c>
      <c r="B36" s="264"/>
      <c r="C36" s="265"/>
      <c r="D36" s="20">
        <f>'Cennik enova365'!B57</f>
        <v>3770</v>
      </c>
      <c r="E36" s="18" t="s">
        <v>4</v>
      </c>
      <c r="F36" s="36"/>
      <c r="G36" s="19">
        <v>0</v>
      </c>
      <c r="H36" s="15">
        <f t="shared" ref="H36:H61" si="3">IF(E36="TAK",1,0)</f>
        <v>0</v>
      </c>
    </row>
    <row r="37" spans="1:14" ht="15.6" x14ac:dyDescent="0.3">
      <c r="A37" s="263" t="s">
        <v>101</v>
      </c>
      <c r="B37" s="264"/>
      <c r="C37" s="265"/>
      <c r="D37" s="20">
        <f>'Cennik enova365'!B58</f>
        <v>11400</v>
      </c>
      <c r="E37" s="18" t="s">
        <v>4</v>
      </c>
      <c r="F37" s="36"/>
      <c r="G37" s="19">
        <v>0</v>
      </c>
      <c r="H37" s="15">
        <f t="shared" si="3"/>
        <v>0</v>
      </c>
    </row>
    <row r="38" spans="1:14" ht="15.6" x14ac:dyDescent="0.3">
      <c r="A38" s="263" t="s">
        <v>102</v>
      </c>
      <c r="B38" s="264"/>
      <c r="C38" s="265"/>
      <c r="D38" s="20">
        <f>'Cennik enova365'!B59</f>
        <v>1060</v>
      </c>
      <c r="E38" s="18" t="s">
        <v>4</v>
      </c>
      <c r="F38" s="36"/>
      <c r="G38" s="19">
        <v>0</v>
      </c>
      <c r="H38" s="15">
        <f t="shared" si="3"/>
        <v>0</v>
      </c>
    </row>
    <row r="39" spans="1:14" ht="15.6" x14ac:dyDescent="0.3">
      <c r="A39" s="263" t="s">
        <v>51</v>
      </c>
      <c r="B39" s="264"/>
      <c r="C39" s="265"/>
      <c r="D39" s="20">
        <f>'Cennik enova365'!B60</f>
        <v>3020</v>
      </c>
      <c r="E39" s="18" t="s">
        <v>4</v>
      </c>
      <c r="F39" s="36"/>
      <c r="G39" s="19">
        <v>0</v>
      </c>
      <c r="H39" s="15">
        <f t="shared" si="3"/>
        <v>0</v>
      </c>
    </row>
    <row r="40" spans="1:14" ht="15.6" x14ac:dyDescent="0.3">
      <c r="A40" s="263" t="s">
        <v>103</v>
      </c>
      <c r="B40" s="264"/>
      <c r="C40" s="265"/>
      <c r="D40" s="20">
        <f>'Cennik enova365'!B61</f>
        <v>3020</v>
      </c>
      <c r="E40" s="18" t="s">
        <v>4</v>
      </c>
      <c r="F40" s="36"/>
      <c r="G40" s="19">
        <v>0</v>
      </c>
      <c r="H40" s="15">
        <f t="shared" si="3"/>
        <v>0</v>
      </c>
    </row>
    <row r="41" spans="1:14" ht="15.6" x14ac:dyDescent="0.3">
      <c r="A41" s="263" t="s">
        <v>99</v>
      </c>
      <c r="B41" s="264"/>
      <c r="C41" s="265"/>
      <c r="D41" s="20">
        <f>'Cennik enova365'!B62</f>
        <v>2270</v>
      </c>
      <c r="E41" s="18" t="s">
        <v>4</v>
      </c>
      <c r="F41" s="36"/>
      <c r="G41" s="19">
        <v>0</v>
      </c>
      <c r="H41" s="15">
        <f t="shared" si="3"/>
        <v>0</v>
      </c>
    </row>
    <row r="42" spans="1:14" customFormat="1" ht="15.6" x14ac:dyDescent="0.3">
      <c r="A42" s="263" t="s">
        <v>201</v>
      </c>
      <c r="B42" s="264"/>
      <c r="C42" s="265"/>
      <c r="D42" s="17">
        <f>VLOOKUP($A42,moduly_dodatkowe[],2,FALSE)</f>
        <v>6520</v>
      </c>
      <c r="E42" s="18" t="s">
        <v>4</v>
      </c>
      <c r="F42" s="36"/>
      <c r="G42" s="19">
        <v>0</v>
      </c>
      <c r="H42" s="123">
        <f t="shared" si="3"/>
        <v>0</v>
      </c>
    </row>
    <row r="43" spans="1:14" ht="15.6" x14ac:dyDescent="0.3">
      <c r="A43" s="263" t="s">
        <v>180</v>
      </c>
      <c r="B43" s="264"/>
      <c r="C43" s="265"/>
      <c r="D43" s="20">
        <f>'Cennik enova365'!B64</f>
        <v>1360</v>
      </c>
      <c r="E43" s="18" t="s">
        <v>4</v>
      </c>
      <c r="F43" s="36"/>
      <c r="G43" s="19">
        <v>0</v>
      </c>
      <c r="H43" s="15">
        <f t="shared" si="3"/>
        <v>0</v>
      </c>
    </row>
    <row r="44" spans="1:14" ht="15.6" x14ac:dyDescent="0.3">
      <c r="A44" s="263" t="s">
        <v>228</v>
      </c>
      <c r="B44" s="264"/>
      <c r="C44" s="265"/>
      <c r="D44" s="20">
        <f>'Cennik enova365'!B65</f>
        <v>3640</v>
      </c>
      <c r="E44" s="18" t="s">
        <v>4</v>
      </c>
      <c r="F44" s="36"/>
      <c r="G44" s="19">
        <v>0</v>
      </c>
      <c r="H44" s="15">
        <f t="shared" si="3"/>
        <v>0</v>
      </c>
    </row>
    <row r="45" spans="1:14" ht="15.6" x14ac:dyDescent="0.3">
      <c r="A45" s="263" t="s">
        <v>87</v>
      </c>
      <c r="B45" s="264"/>
      <c r="C45" s="265"/>
      <c r="D45" s="20">
        <f>'Cennik enova365'!B66</f>
        <v>3770</v>
      </c>
      <c r="E45" s="18" t="s">
        <v>4</v>
      </c>
      <c r="F45" s="36"/>
      <c r="G45" s="19">
        <v>0</v>
      </c>
      <c r="H45" s="15">
        <f t="shared" si="3"/>
        <v>0</v>
      </c>
    </row>
    <row r="46" spans="1:14" ht="15.6" x14ac:dyDescent="0.3">
      <c r="A46" s="263" t="s">
        <v>45</v>
      </c>
      <c r="B46" s="264"/>
      <c r="C46" s="265"/>
      <c r="D46" s="20">
        <f>'Cennik enova365'!B67</f>
        <v>3020</v>
      </c>
      <c r="E46" s="18" t="s">
        <v>4</v>
      </c>
      <c r="F46" s="36"/>
      <c r="G46" s="19">
        <v>0</v>
      </c>
      <c r="H46" s="15">
        <f t="shared" si="3"/>
        <v>0</v>
      </c>
    </row>
    <row r="47" spans="1:14" ht="15.6" x14ac:dyDescent="0.3">
      <c r="A47" s="263" t="s">
        <v>46</v>
      </c>
      <c r="B47" s="264"/>
      <c r="C47" s="265"/>
      <c r="D47" s="20">
        <f>'Cennik enova365'!B68</f>
        <v>3330</v>
      </c>
      <c r="E47" s="18" t="s">
        <v>4</v>
      </c>
      <c r="F47" s="36"/>
      <c r="G47" s="19">
        <v>0</v>
      </c>
      <c r="H47" s="15">
        <f t="shared" si="3"/>
        <v>0</v>
      </c>
    </row>
    <row r="48" spans="1:14" ht="15.6" x14ac:dyDescent="0.3">
      <c r="A48" s="263" t="s">
        <v>47</v>
      </c>
      <c r="B48" s="264"/>
      <c r="C48" s="265"/>
      <c r="D48" s="20">
        <f>'Cennik enova365'!B69</f>
        <v>3770</v>
      </c>
      <c r="E48" s="18" t="s">
        <v>4</v>
      </c>
      <c r="F48" s="36"/>
      <c r="G48" s="19">
        <v>0</v>
      </c>
      <c r="H48" s="15">
        <f t="shared" si="3"/>
        <v>0</v>
      </c>
    </row>
    <row r="49" spans="1:10" ht="15.6" x14ac:dyDescent="0.3">
      <c r="A49" s="263" t="s">
        <v>48</v>
      </c>
      <c r="B49" s="264"/>
      <c r="C49" s="265"/>
      <c r="D49" s="20">
        <f>'Cennik enova365'!B70</f>
        <v>2270</v>
      </c>
      <c r="E49" s="18" t="s">
        <v>4</v>
      </c>
      <c r="F49" s="36"/>
      <c r="G49" s="19">
        <v>0</v>
      </c>
      <c r="H49" s="15">
        <f t="shared" si="3"/>
        <v>0</v>
      </c>
    </row>
    <row r="50" spans="1:10" ht="15.6" x14ac:dyDescent="0.3">
      <c r="A50" s="263" t="s">
        <v>49</v>
      </c>
      <c r="B50" s="264"/>
      <c r="C50" s="265"/>
      <c r="D50" s="20">
        <f>'Cennik enova365'!B71</f>
        <v>2270</v>
      </c>
      <c r="E50" s="18" t="s">
        <v>4</v>
      </c>
      <c r="F50" s="36"/>
      <c r="G50" s="19">
        <v>0</v>
      </c>
      <c r="H50" s="15">
        <f t="shared" si="3"/>
        <v>0</v>
      </c>
    </row>
    <row r="51" spans="1:10" ht="15.6" x14ac:dyDescent="0.3">
      <c r="A51" s="263" t="s">
        <v>56</v>
      </c>
      <c r="B51" s="264"/>
      <c r="C51" s="265"/>
      <c r="D51" s="20">
        <f>'Cennik enova365'!B72</f>
        <v>1100</v>
      </c>
      <c r="E51" s="18" t="s">
        <v>4</v>
      </c>
      <c r="F51" s="36"/>
      <c r="G51" s="19">
        <v>0</v>
      </c>
      <c r="H51" s="15">
        <f t="shared" si="3"/>
        <v>0</v>
      </c>
    </row>
    <row r="52" spans="1:10" ht="15.6" x14ac:dyDescent="0.3">
      <c r="A52" s="263" t="s">
        <v>104</v>
      </c>
      <c r="B52" s="264"/>
      <c r="C52" s="265"/>
      <c r="D52" s="20">
        <f>'Cennik enova365'!B73</f>
        <v>295</v>
      </c>
      <c r="E52" s="18" t="s">
        <v>4</v>
      </c>
      <c r="F52" s="36"/>
      <c r="G52" s="19">
        <v>0</v>
      </c>
      <c r="H52" s="15">
        <f t="shared" si="3"/>
        <v>0</v>
      </c>
    </row>
    <row r="53" spans="1:10" ht="15.6" x14ac:dyDescent="0.3">
      <c r="A53" s="263" t="s">
        <v>55</v>
      </c>
      <c r="B53" s="264"/>
      <c r="C53" s="265"/>
      <c r="D53" s="20">
        <f>'Cennik enova365'!B74</f>
        <v>3020</v>
      </c>
      <c r="E53" s="18" t="s">
        <v>4</v>
      </c>
      <c r="F53" s="36"/>
      <c r="G53" s="19">
        <v>0</v>
      </c>
      <c r="H53" s="15">
        <f t="shared" si="3"/>
        <v>0</v>
      </c>
    </row>
    <row r="54" spans="1:10" ht="15.6" x14ac:dyDescent="0.3">
      <c r="A54" s="263" t="s">
        <v>150</v>
      </c>
      <c r="B54" s="264"/>
      <c r="C54" s="265"/>
      <c r="D54" s="20">
        <f>'Cennik enova365'!B75</f>
        <v>3670</v>
      </c>
      <c r="E54" s="18" t="s">
        <v>4</v>
      </c>
      <c r="F54" s="36"/>
      <c r="G54" s="19">
        <v>0</v>
      </c>
      <c r="H54" s="15">
        <f t="shared" si="3"/>
        <v>0</v>
      </c>
    </row>
    <row r="55" spans="1:10" ht="15.6" x14ac:dyDescent="0.3">
      <c r="A55" s="263" t="s">
        <v>97</v>
      </c>
      <c r="B55" s="264"/>
      <c r="C55" s="265"/>
      <c r="D55" s="20">
        <f>'Cennik enova365'!B76</f>
        <v>7570</v>
      </c>
      <c r="E55" s="18" t="s">
        <v>4</v>
      </c>
      <c r="F55" s="36"/>
      <c r="G55" s="19">
        <v>0</v>
      </c>
      <c r="H55" s="15">
        <f t="shared" si="3"/>
        <v>0</v>
      </c>
    </row>
    <row r="56" spans="1:10" ht="15.6" x14ac:dyDescent="0.3">
      <c r="A56" s="263" t="s">
        <v>181</v>
      </c>
      <c r="B56" s="264"/>
      <c r="C56" s="265"/>
      <c r="D56" s="20">
        <f>'Cennik enova365'!B77</f>
        <v>2460</v>
      </c>
      <c r="E56" s="18" t="s">
        <v>4</v>
      </c>
      <c r="F56" s="36"/>
      <c r="G56" s="19">
        <v>0</v>
      </c>
      <c r="H56" s="15">
        <f t="shared" si="3"/>
        <v>0</v>
      </c>
    </row>
    <row r="57" spans="1:10" ht="15.6" x14ac:dyDescent="0.3">
      <c r="A57" s="263" t="s">
        <v>53</v>
      </c>
      <c r="B57" s="264"/>
      <c r="C57" s="265"/>
      <c r="D57" s="20">
        <f>'Cennik enova365'!B78</f>
        <v>1360</v>
      </c>
      <c r="E57" s="18" t="s">
        <v>4</v>
      </c>
      <c r="F57" s="36"/>
      <c r="G57" s="19">
        <v>0</v>
      </c>
      <c r="H57" s="15">
        <f t="shared" si="3"/>
        <v>0</v>
      </c>
    </row>
    <row r="58" spans="1:10" ht="15.6" x14ac:dyDescent="0.3">
      <c r="A58" s="263" t="s">
        <v>54</v>
      </c>
      <c r="B58" s="264"/>
      <c r="C58" s="265"/>
      <c r="D58" s="20">
        <f>'Cennik enova365'!B79</f>
        <v>1360</v>
      </c>
      <c r="E58" s="18" t="s">
        <v>4</v>
      </c>
      <c r="F58" s="36"/>
      <c r="G58" s="19">
        <v>0</v>
      </c>
      <c r="H58" s="15">
        <f t="shared" si="3"/>
        <v>0</v>
      </c>
    </row>
    <row r="59" spans="1:10" ht="15.6" x14ac:dyDescent="0.3">
      <c r="A59" s="263" t="s">
        <v>70</v>
      </c>
      <c r="B59" s="264"/>
      <c r="C59" s="265"/>
      <c r="D59" s="20">
        <f>'Cennik enova365'!B80</f>
        <v>3020</v>
      </c>
      <c r="E59" s="18" t="s">
        <v>4</v>
      </c>
      <c r="F59" s="36"/>
      <c r="G59" s="19">
        <v>0</v>
      </c>
      <c r="H59" s="15">
        <f t="shared" si="3"/>
        <v>0</v>
      </c>
    </row>
    <row r="60" spans="1:10" ht="15.6" x14ac:dyDescent="0.3">
      <c r="A60" s="263" t="s">
        <v>226</v>
      </c>
      <c r="B60" s="264"/>
      <c r="C60" s="265"/>
      <c r="D60" s="20">
        <f>'Cennik enova365'!B81</f>
        <v>2770</v>
      </c>
      <c r="E60" s="18" t="s">
        <v>4</v>
      </c>
      <c r="F60" s="36"/>
      <c r="G60" s="19">
        <v>0</v>
      </c>
      <c r="H60" s="15">
        <f t="shared" si="3"/>
        <v>0</v>
      </c>
    </row>
    <row r="61" spans="1:10" ht="15.6" x14ac:dyDescent="0.3">
      <c r="A61" s="263" t="s">
        <v>227</v>
      </c>
      <c r="B61" s="264"/>
      <c r="C61" s="265"/>
      <c r="D61" s="20">
        <f>'Cennik enova365'!B82</f>
        <v>16430</v>
      </c>
      <c r="E61" s="18" t="s">
        <v>4</v>
      </c>
      <c r="F61" s="36"/>
      <c r="G61" s="19">
        <f>IF(E61="TAK",D61,0)</f>
        <v>0</v>
      </c>
      <c r="H61" s="15">
        <f t="shared" si="3"/>
        <v>0</v>
      </c>
      <c r="J61" s="247" t="str">
        <f>IF(E61="TAK","dodatek płatny dla wszystkich wersji kolorystycznych enova365"," ")</f>
        <v xml:space="preserve"> </v>
      </c>
    </row>
    <row r="62" spans="1:10" ht="15.6" x14ac:dyDescent="0.3">
      <c r="A62" s="285" t="s">
        <v>40</v>
      </c>
      <c r="B62" s="290"/>
      <c r="C62" s="286"/>
      <c r="D62" s="86"/>
      <c r="E62" s="85"/>
      <c r="F62" s="87"/>
      <c r="G62" s="41">
        <f>SUM(G35:G61)</f>
        <v>0</v>
      </c>
      <c r="H62" s="15">
        <f>IF(SUM(H35:H59)&gt;0,1,0)</f>
        <v>0</v>
      </c>
    </row>
    <row r="63" spans="1:10" ht="33.6" customHeight="1" x14ac:dyDescent="0.3">
      <c r="A63" s="276" t="s">
        <v>163</v>
      </c>
      <c r="B63" s="287"/>
      <c r="C63" s="288"/>
      <c r="D63" s="70"/>
      <c r="E63" s="65" t="s">
        <v>39</v>
      </c>
      <c r="F63" s="66"/>
      <c r="G63" s="71"/>
      <c r="H63" s="15">
        <f>H64</f>
        <v>0</v>
      </c>
    </row>
    <row r="64" spans="1:10" ht="15.6" x14ac:dyDescent="0.3">
      <c r="A64" s="37" t="s">
        <v>62</v>
      </c>
      <c r="B64" s="25" t="s">
        <v>4</v>
      </c>
      <c r="C64" s="20" t="s">
        <v>38</v>
      </c>
      <c r="D64" s="20"/>
      <c r="E64" s="18">
        <v>0</v>
      </c>
      <c r="F64" s="36"/>
      <c r="G64" s="19">
        <v>0</v>
      </c>
      <c r="H64" s="15">
        <f>IF(B64="TAK",1,0)</f>
        <v>0</v>
      </c>
    </row>
    <row r="65" spans="1:8" ht="15.6" x14ac:dyDescent="0.3">
      <c r="A65" s="42" t="s">
        <v>16</v>
      </c>
      <c r="B65" s="85"/>
      <c r="C65" s="86"/>
      <c r="D65" s="86"/>
      <c r="E65" s="85"/>
      <c r="F65" s="87"/>
      <c r="G65" s="41">
        <f>SUM(G64:G64)</f>
        <v>0</v>
      </c>
      <c r="H65" s="15">
        <f>H64</f>
        <v>0</v>
      </c>
    </row>
    <row r="66" spans="1:8" ht="15.6" x14ac:dyDescent="0.3">
      <c r="A66" s="112" t="s">
        <v>36</v>
      </c>
      <c r="B66" s="65"/>
      <c r="C66" s="65"/>
      <c r="D66" s="65"/>
      <c r="E66" s="65" t="s">
        <v>33</v>
      </c>
      <c r="F66" s="66"/>
      <c r="G66" s="67"/>
      <c r="H66" s="15">
        <f>IF(G74&gt;0,1,0)</f>
        <v>0</v>
      </c>
    </row>
    <row r="67" spans="1:8" ht="15.6" x14ac:dyDescent="0.3">
      <c r="A67" s="37" t="s">
        <v>58</v>
      </c>
      <c r="B67" s="25" t="s">
        <v>4</v>
      </c>
      <c r="C67" s="17">
        <f>IF(E67="do 50 kont",'Cennik enova365'!B89,IF(E67="do 100 kont",'Cennik enova365'!B90,IF(E67="do 200 kont",'Cennik enova365'!B91,IF(E67="do 500 kont",'Cennik enova365'!B92,IF(E67="do 1000 kont",'Cennik enova365'!B93,IF(E67="powyżej 1000 kont",'Cennik enova365'!B94))))))</f>
        <v>4540</v>
      </c>
      <c r="D67" s="17"/>
      <c r="E67" s="18" t="s">
        <v>168</v>
      </c>
      <c r="F67" s="36"/>
      <c r="G67" s="19">
        <f>IF(B67="TAK",C67,0)</f>
        <v>0</v>
      </c>
      <c r="H67" s="15">
        <f t="shared" ref="H67:H79" si="4">IF(G67&gt;0,1,0)</f>
        <v>0</v>
      </c>
    </row>
    <row r="68" spans="1:8" ht="15.6" x14ac:dyDescent="0.3">
      <c r="A68" s="37" t="s">
        <v>30</v>
      </c>
      <c r="B68" s="25" t="s">
        <v>4</v>
      </c>
      <c r="C68" s="17">
        <f>'Cennik enova365'!B95</f>
        <v>305</v>
      </c>
      <c r="D68" s="17"/>
      <c r="E68" s="18">
        <v>0</v>
      </c>
      <c r="F68" s="36"/>
      <c r="G68" s="19">
        <f>IF(B68="TAK",C68*E68,0)</f>
        <v>0</v>
      </c>
      <c r="H68" s="15">
        <f t="shared" si="4"/>
        <v>0</v>
      </c>
    </row>
    <row r="69" spans="1:8" ht="15.6" x14ac:dyDescent="0.3">
      <c r="A69" s="37" t="s">
        <v>71</v>
      </c>
      <c r="B69" s="25" t="s">
        <v>4</v>
      </c>
      <c r="C69" s="17">
        <f>IF(E69="do 50 kont",'Cennik enova365'!B99,IF(E69="do 100 kont",'Cennik enova365'!B100,IF(E69="do 200 kont",'Cennik enova365'!B101,IF(E69="do 500 kont",'Cennik enova365'!B102,IF(E69="do 1000 kont",'Cennik enova365'!B103,IF(E69="powyżej 1000 kont",'Cennik enova365'!B104))))))</f>
        <v>3600</v>
      </c>
      <c r="D69" s="17"/>
      <c r="E69" s="18" t="s">
        <v>168</v>
      </c>
      <c r="F69" s="36"/>
      <c r="G69" s="19">
        <f>IF(B69="TAK",C69,0)</f>
        <v>0</v>
      </c>
      <c r="H69" s="15">
        <f t="shared" si="4"/>
        <v>0</v>
      </c>
    </row>
    <row r="70" spans="1:8" ht="15.6" x14ac:dyDescent="0.3">
      <c r="A70" s="37" t="s">
        <v>72</v>
      </c>
      <c r="B70" s="25" t="s">
        <v>4</v>
      </c>
      <c r="C70" s="17">
        <f>IF(E70="do 50 kont",'Cennik enova365'!B107,IF(E70="do 100 kont",'Cennik enova365'!B108,IF(E70="do 200 kont",'Cennik enova365'!B109,IF(E70="do 500 kont",'Cennik enova365'!B110,IF(E70="do 1000 kont",'Cennik enova365'!B111,IF(E70="powyżej 1000 kont",'Cennik enova365'!B112))))))</f>
        <v>2270</v>
      </c>
      <c r="D70" s="17"/>
      <c r="E70" s="18" t="s">
        <v>168</v>
      </c>
      <c r="F70" s="36"/>
      <c r="G70" s="19">
        <f t="shared" ref="G70:G73" si="5">IF(B70="TAK",C70,0)</f>
        <v>0</v>
      </c>
      <c r="H70" s="15">
        <f t="shared" si="4"/>
        <v>0</v>
      </c>
    </row>
    <row r="71" spans="1:8" ht="15.6" x14ac:dyDescent="0.3">
      <c r="A71" s="222" t="s">
        <v>200</v>
      </c>
      <c r="B71" s="218" t="s">
        <v>4</v>
      </c>
      <c r="C71" s="219">
        <f>VLOOKUP(E71,pulpity_BI[],2,FALSE)</f>
        <v>1290</v>
      </c>
      <c r="D71" s="219"/>
      <c r="E71" s="220" t="s">
        <v>168</v>
      </c>
      <c r="F71" s="224"/>
      <c r="G71" s="19">
        <f>IF(B71="TAK",C71,0)</f>
        <v>0</v>
      </c>
      <c r="H71" s="223">
        <f t="shared" si="4"/>
        <v>0</v>
      </c>
    </row>
    <row r="72" spans="1:8" ht="15.6" x14ac:dyDescent="0.3">
      <c r="A72" s="222" t="s">
        <v>225</v>
      </c>
      <c r="B72" s="218" t="s">
        <v>4</v>
      </c>
      <c r="C72" s="219">
        <f>VLOOKUP(E72,enova365_Praca_Hybrydowa_w_Pulpitach,2,FALSE)</f>
        <v>2160</v>
      </c>
      <c r="D72" s="219"/>
      <c r="E72" s="220" t="s">
        <v>168</v>
      </c>
      <c r="F72" s="224"/>
      <c r="G72" s="19">
        <f t="shared" si="5"/>
        <v>0</v>
      </c>
      <c r="H72" s="223">
        <f t="shared" si="4"/>
        <v>0</v>
      </c>
    </row>
    <row r="73" spans="1:8" ht="15.6" x14ac:dyDescent="0.3">
      <c r="A73" s="37" t="s">
        <v>98</v>
      </c>
      <c r="B73" s="218" t="s">
        <v>4</v>
      </c>
      <c r="C73" s="17">
        <f>'Cennik enova365'!B96</f>
        <v>7520</v>
      </c>
      <c r="D73" s="17"/>
      <c r="E73" s="17"/>
      <c r="F73" s="36"/>
      <c r="G73" s="19">
        <f t="shared" si="5"/>
        <v>0</v>
      </c>
      <c r="H73" s="15">
        <f t="shared" si="4"/>
        <v>0</v>
      </c>
    </row>
    <row r="74" spans="1:8" ht="15.6" x14ac:dyDescent="0.3">
      <c r="A74" s="42" t="s">
        <v>32</v>
      </c>
      <c r="B74" s="289"/>
      <c r="C74" s="290"/>
      <c r="D74" s="286"/>
      <c r="E74" s="53"/>
      <c r="F74" s="54"/>
      <c r="G74" s="41">
        <f>SUM(G67:G73)</f>
        <v>0</v>
      </c>
      <c r="H74" s="15">
        <f t="shared" si="4"/>
        <v>0</v>
      </c>
    </row>
    <row r="75" spans="1:8" ht="15.6" x14ac:dyDescent="0.3">
      <c r="A75" s="298" t="s">
        <v>78</v>
      </c>
      <c r="B75" s="291"/>
      <c r="C75" s="292"/>
      <c r="D75" s="293"/>
      <c r="E75" s="60" t="s">
        <v>24</v>
      </c>
      <c r="F75" s="61"/>
      <c r="G75" s="41"/>
      <c r="H75" s="15">
        <f>IF(G76&gt;0,1,0)</f>
        <v>0</v>
      </c>
    </row>
    <row r="76" spans="1:8" ht="15.6" x14ac:dyDescent="0.3">
      <c r="A76" s="299"/>
      <c r="B76" s="294" t="s">
        <v>164</v>
      </c>
      <c r="C76" s="295"/>
      <c r="D76" s="296"/>
      <c r="E76" s="103">
        <v>0</v>
      </c>
      <c r="F76" s="61"/>
      <c r="G76" s="41">
        <f>(G74*0.05)*(E76)</f>
        <v>0</v>
      </c>
      <c r="H76" s="15">
        <f t="shared" si="4"/>
        <v>0</v>
      </c>
    </row>
    <row r="77" spans="1:8" ht="15.6" x14ac:dyDescent="0.3">
      <c r="A77" s="42"/>
      <c r="B77" s="289"/>
      <c r="C77" s="290"/>
      <c r="D77" s="286"/>
      <c r="E77" s="38"/>
      <c r="F77" s="40"/>
      <c r="G77" s="41"/>
      <c r="H77" s="15">
        <f t="shared" si="4"/>
        <v>0</v>
      </c>
    </row>
    <row r="78" spans="1:8" ht="15.6" x14ac:dyDescent="0.3">
      <c r="A78" s="42" t="s">
        <v>77</v>
      </c>
      <c r="B78" s="289"/>
      <c r="C78" s="290"/>
      <c r="D78" s="286"/>
      <c r="E78" s="53"/>
      <c r="F78" s="54"/>
      <c r="G78" s="41">
        <f>G76+G74</f>
        <v>0</v>
      </c>
      <c r="H78" s="15">
        <f t="shared" si="4"/>
        <v>0</v>
      </c>
    </row>
    <row r="79" spans="1:8" ht="15" customHeight="1" x14ac:dyDescent="0.35">
      <c r="A79" s="106" t="s">
        <v>64</v>
      </c>
      <c r="B79" s="107"/>
      <c r="C79" s="108"/>
      <c r="D79" s="109"/>
      <c r="E79" s="165"/>
      <c r="F79" s="88"/>
      <c r="G79" s="163">
        <f>G30+G62+G65+G33</f>
        <v>0</v>
      </c>
      <c r="H79" s="105">
        <f t="shared" si="4"/>
        <v>0</v>
      </c>
    </row>
    <row r="80" spans="1:8" ht="31.2" x14ac:dyDescent="0.35">
      <c r="A80" s="89" t="s">
        <v>65</v>
      </c>
      <c r="B80" s="170" t="s">
        <v>76</v>
      </c>
      <c r="C80" s="172"/>
      <c r="D80" s="90"/>
      <c r="E80" s="91" t="s">
        <v>24</v>
      </c>
      <c r="F80" s="92"/>
      <c r="G80" s="171">
        <f>IF(AND(E81&gt;5,E81&lt;11),(G79*(E81-5)*0.1),IF(AND(E81&gt;10,E81&lt;21),(G79*5*0.1+G79*(E81-10)*5%),IF(AND(E81&gt;20,E81&lt;51),(G79*5*10%+G79*10*5%+G79*(E81-20)*2.5%),IF(E81&gt;50,(G79*5*10%+G79*10*5%+G79*30*2.5%+G79*(E81-50)*1%),0))))</f>
        <v>0</v>
      </c>
      <c r="H80" s="105">
        <f>IF(G80&gt;0,1,0)</f>
        <v>0</v>
      </c>
    </row>
    <row r="81" spans="1:10" ht="15.75" customHeight="1" x14ac:dyDescent="0.35">
      <c r="A81" s="93"/>
      <c r="B81" s="166"/>
      <c r="C81" s="173"/>
      <c r="D81" s="167"/>
      <c r="E81" s="103">
        <v>0</v>
      </c>
      <c r="F81" s="92"/>
      <c r="G81" s="164"/>
      <c r="H81" s="105">
        <f>IF(E81&gt;0,1,0)</f>
        <v>0</v>
      </c>
    </row>
    <row r="82" spans="1:10" ht="20.25" customHeight="1" x14ac:dyDescent="0.35">
      <c r="A82" s="94" t="s">
        <v>68</v>
      </c>
      <c r="B82" s="95"/>
      <c r="C82" s="95"/>
      <c r="D82" s="95"/>
      <c r="E82" s="95"/>
      <c r="F82" s="96"/>
      <c r="G82" s="97">
        <f>G79+G80+G78</f>
        <v>0</v>
      </c>
      <c r="H82" s="15">
        <f t="shared" ref="H82:H90" si="6">IF(G82&gt;0,1,0)</f>
        <v>0</v>
      </c>
    </row>
    <row r="83" spans="1:10" s="162" customFormat="1" ht="19.5" customHeight="1" x14ac:dyDescent="0.35">
      <c r="A83" s="98"/>
      <c r="B83" s="117" t="s">
        <v>18</v>
      </c>
      <c r="C83" s="118">
        <v>0</v>
      </c>
      <c r="D83" s="119"/>
      <c r="E83" s="120" t="s">
        <v>4</v>
      </c>
      <c r="F83" s="121"/>
      <c r="G83" s="122">
        <f>IF(E83="TAK",G82*C83,0)</f>
        <v>0</v>
      </c>
      <c r="H83" s="15">
        <f t="shared" si="6"/>
        <v>0</v>
      </c>
    </row>
    <row r="84" spans="1:10" ht="18.75" customHeight="1" x14ac:dyDescent="0.35">
      <c r="A84" s="99"/>
      <c r="B84" s="95" t="s">
        <v>19</v>
      </c>
      <c r="C84" s="195"/>
      <c r="D84" s="195"/>
      <c r="E84" s="196"/>
      <c r="F84" s="196"/>
      <c r="G84" s="197">
        <f>G83</f>
        <v>0</v>
      </c>
      <c r="H84" s="15">
        <f t="shared" si="6"/>
        <v>0</v>
      </c>
    </row>
    <row r="85" spans="1:10" ht="18.75" customHeight="1" x14ac:dyDescent="0.3">
      <c r="A85" s="112" t="s">
        <v>232</v>
      </c>
      <c r="B85" s="23"/>
      <c r="C85" s="31"/>
      <c r="D85" s="31"/>
      <c r="E85" s="132" t="s">
        <v>34</v>
      </c>
      <c r="F85" s="133"/>
      <c r="G85" s="24"/>
      <c r="H85" s="15">
        <f t="shared" si="6"/>
        <v>0</v>
      </c>
    </row>
    <row r="86" spans="1:10" ht="34.200000000000003" customHeight="1" x14ac:dyDescent="0.3">
      <c r="A86" s="37" t="s">
        <v>139</v>
      </c>
      <c r="B86" s="181" t="s">
        <v>4</v>
      </c>
      <c r="C86" s="239" t="b">
        <f>IF(E86="5 000 stron rocznie",'Cennik enova365'!B161,IF(E86="10 000 stron rocznie",'Cennik enova365'!B162,IF(E86="15 000 stron rocznie",'Cennik enova365'!B163,IF(E86="20 000 stron rocznie",'Cennik enova365'!B164,IF(E86="25 000 stron rocznie",'Cennik enova365'!B165,IF(E86="30 000 stron rocznie",'Cennik enova365'!B166,IF(E86="35 000 stron rocznie",'Cennik enova365'!B167,IF(E86="40 000 stron rocznie",'Cennik enova365'!B168,IF(E86="45 000 stron rocznie",'Cennik enova365'!B169,IF(E86="50 000 stron rocznie",'Cennik enova365'!B170,IF(E86="55 000 stron rocznie",'Cennik enova365'!B171,IF(E86="60 000 stron rocznie",'Cennik enova365'!B172,IF(E86="powyżej 60 000 stron rocznie",'Cennik enova365'!B173)))))))))))))</f>
        <v>0</v>
      </c>
      <c r="D86" s="17" t="s">
        <v>218</v>
      </c>
      <c r="E86" s="136" t="s">
        <v>139</v>
      </c>
      <c r="F86" s="36"/>
      <c r="G86" s="187">
        <f>IF(B86="TAK",C86,0)</f>
        <v>0</v>
      </c>
      <c r="H86" s="15">
        <f t="shared" si="6"/>
        <v>0</v>
      </c>
      <c r="J86" s="242" t="str">
        <f>IF(B86="TAK","Licencję należy odnowić po roku"," ")</f>
        <v xml:space="preserve"> </v>
      </c>
    </row>
    <row r="87" spans="1:10" ht="18.75" customHeight="1" x14ac:dyDescent="0.3">
      <c r="A87" s="42" t="s">
        <v>219</v>
      </c>
      <c r="B87" s="38"/>
      <c r="C87" s="39"/>
      <c r="D87" s="39"/>
      <c r="E87" s="38"/>
      <c r="F87" s="40"/>
      <c r="G87" s="41">
        <f>SUM(G86:G86)</f>
        <v>0</v>
      </c>
      <c r="H87" s="15">
        <f t="shared" si="6"/>
        <v>0</v>
      </c>
    </row>
    <row r="88" spans="1:10" ht="17.399999999999999" x14ac:dyDescent="0.35">
      <c r="A88" s="75" t="s">
        <v>20</v>
      </c>
      <c r="B88" s="251"/>
      <c r="C88" s="251"/>
      <c r="D88" s="251"/>
      <c r="E88" s="251"/>
      <c r="F88" s="252"/>
      <c r="G88" s="253">
        <f>G82-G84+G87</f>
        <v>0</v>
      </c>
      <c r="H88" s="15">
        <f t="shared" si="6"/>
        <v>0</v>
      </c>
    </row>
    <row r="89" spans="1:10" ht="15.6" x14ac:dyDescent="0.3">
      <c r="A89" s="75" t="s">
        <v>21</v>
      </c>
      <c r="B89" s="254"/>
      <c r="C89" s="254"/>
      <c r="D89" s="254"/>
      <c r="E89" s="254"/>
      <c r="F89" s="255"/>
      <c r="G89" s="139">
        <f>G88*1.23</f>
        <v>0</v>
      </c>
      <c r="H89" s="15">
        <f t="shared" si="6"/>
        <v>0</v>
      </c>
    </row>
    <row r="90" spans="1:10" ht="33" customHeight="1" x14ac:dyDescent="0.3">
      <c r="A90" s="277" t="s">
        <v>140</v>
      </c>
      <c r="B90" s="278"/>
      <c r="C90" s="278"/>
      <c r="D90" s="278"/>
      <c r="E90" s="278"/>
      <c r="F90" s="279"/>
      <c r="G90" s="147">
        <f>((G82)*'Cennik enova365'!$K$43)</f>
        <v>0</v>
      </c>
      <c r="H90" s="15">
        <f t="shared" si="6"/>
        <v>0</v>
      </c>
    </row>
    <row r="91" spans="1:10" x14ac:dyDescent="0.3">
      <c r="A91" s="49" t="s">
        <v>81</v>
      </c>
      <c r="B91" s="50"/>
      <c r="H91" s="15">
        <v>1</v>
      </c>
    </row>
    <row r="92" spans="1:10" x14ac:dyDescent="0.3">
      <c r="A92" s="49" t="s">
        <v>82</v>
      </c>
      <c r="B92" s="50"/>
      <c r="H92" s="15">
        <v>1</v>
      </c>
    </row>
    <row r="93" spans="1:10" x14ac:dyDescent="0.3">
      <c r="A93" s="51" t="s">
        <v>83</v>
      </c>
      <c r="B93" s="52"/>
      <c r="H93" s="15">
        <v>1</v>
      </c>
    </row>
    <row r="96" spans="1:10" x14ac:dyDescent="0.3">
      <c r="F96" s="140"/>
      <c r="G96" s="140"/>
      <c r="H96" s="140"/>
    </row>
    <row r="97" spans="6:10" x14ac:dyDescent="0.3">
      <c r="F97" s="140"/>
      <c r="G97" s="140"/>
      <c r="H97" s="140"/>
    </row>
    <row r="98" spans="6:10" x14ac:dyDescent="0.3">
      <c r="F98" s="140"/>
      <c r="J98" s="174"/>
    </row>
    <row r="99" spans="6:10" x14ac:dyDescent="0.3">
      <c r="F99" s="140"/>
      <c r="G99" s="175"/>
      <c r="H99" s="176"/>
      <c r="I99" s="174"/>
      <c r="J99" s="177"/>
    </row>
    <row r="100" spans="6:10" x14ac:dyDescent="0.3">
      <c r="F100" s="140"/>
      <c r="G100" s="178"/>
      <c r="H100" s="179"/>
      <c r="I100" s="174"/>
      <c r="J100" s="177"/>
    </row>
    <row r="101" spans="6:10" x14ac:dyDescent="0.3">
      <c r="F101" s="140"/>
      <c r="G101" s="178"/>
      <c r="H101" s="179"/>
      <c r="I101" s="174"/>
      <c r="J101" s="177"/>
    </row>
    <row r="102" spans="6:10" x14ac:dyDescent="0.3">
      <c r="F102" s="140"/>
      <c r="G102" s="178"/>
      <c r="H102" s="179"/>
      <c r="I102" s="174"/>
      <c r="J102" s="177"/>
    </row>
    <row r="103" spans="6:10" x14ac:dyDescent="0.3">
      <c r="F103" s="140"/>
      <c r="G103" s="180"/>
      <c r="H103" s="180"/>
      <c r="I103" s="180"/>
    </row>
    <row r="104" spans="6:10" x14ac:dyDescent="0.3">
      <c r="F104" s="140"/>
      <c r="G104" s="140"/>
      <c r="H104" s="140"/>
    </row>
    <row r="105" spans="6:10" x14ac:dyDescent="0.3">
      <c r="F105" s="140"/>
      <c r="G105" s="140"/>
      <c r="H105" s="140"/>
    </row>
    <row r="106" spans="6:10" x14ac:dyDescent="0.3">
      <c r="F106" s="140"/>
      <c r="G106" s="140"/>
      <c r="H106" s="140"/>
    </row>
    <row r="107" spans="6:10" x14ac:dyDescent="0.3">
      <c r="F107" s="140"/>
      <c r="G107" s="140"/>
      <c r="H107" s="140"/>
    </row>
    <row r="108" spans="6:10" x14ac:dyDescent="0.3">
      <c r="F108" s="140"/>
      <c r="G108" s="140"/>
      <c r="H108" s="140"/>
    </row>
    <row r="109" spans="6:10" x14ac:dyDescent="0.3">
      <c r="F109" s="140"/>
      <c r="G109" s="141"/>
      <c r="H109" s="140"/>
    </row>
    <row r="110" spans="6:10" x14ac:dyDescent="0.3">
      <c r="F110" s="140"/>
      <c r="G110" s="140"/>
      <c r="H110" s="140"/>
    </row>
  </sheetData>
  <autoFilter ref="H1:H93" xr:uid="{00000000-0009-0000-0000-000003000000}"/>
  <mergeCells count="40">
    <mergeCell ref="A2:C2"/>
    <mergeCell ref="A31:C31"/>
    <mergeCell ref="A37:C37"/>
    <mergeCell ref="A38:C38"/>
    <mergeCell ref="A39:C39"/>
    <mergeCell ref="A34:C34"/>
    <mergeCell ref="A36:C36"/>
    <mergeCell ref="B77:D77"/>
    <mergeCell ref="A63:C63"/>
    <mergeCell ref="A75:A76"/>
    <mergeCell ref="A60:C60"/>
    <mergeCell ref="A44:C44"/>
    <mergeCell ref="A62:C62"/>
    <mergeCell ref="A48:C48"/>
    <mergeCell ref="A49:C49"/>
    <mergeCell ref="A50:C50"/>
    <mergeCell ref="A46:C46"/>
    <mergeCell ref="A47:C47"/>
    <mergeCell ref="A56:C56"/>
    <mergeCell ref="A40:C40"/>
    <mergeCell ref="A41:C41"/>
    <mergeCell ref="A45:C45"/>
    <mergeCell ref="I35:N35"/>
    <mergeCell ref="A35:C35"/>
    <mergeCell ref="A90:F90"/>
    <mergeCell ref="B78:D78"/>
    <mergeCell ref="A42:C42"/>
    <mergeCell ref="A43:C43"/>
    <mergeCell ref="B75:D75"/>
    <mergeCell ref="B76:D76"/>
    <mergeCell ref="A61:C61"/>
    <mergeCell ref="B74:D74"/>
    <mergeCell ref="A51:C51"/>
    <mergeCell ref="A52:C52"/>
    <mergeCell ref="A59:C59"/>
    <mergeCell ref="A53:C53"/>
    <mergeCell ref="A54:C54"/>
    <mergeCell ref="A55:C55"/>
    <mergeCell ref="A57:C57"/>
    <mergeCell ref="A58:C58"/>
  </mergeCells>
  <dataValidations xWindow="597" yWindow="503" count="24">
    <dataValidation allowBlank="1" showInputMessage="1" showErrorMessage="1" prompt="wpisz liczbę tabel" sqref="E64" xr:uid="{00000000-0002-0000-0300-000000000000}"/>
    <dataValidation allowBlank="1" showInputMessage="1" showErrorMessage="1" prompt="wpisz wartość rabatu" sqref="C83" xr:uid="{00000000-0002-0000-0300-000001000000}"/>
    <dataValidation allowBlank="1" showInputMessage="1" showErrorMessage="1" prompt="wpisz liczbę baz dodatkowych" sqref="E76" xr:uid="{00000000-0002-0000-0300-000002000000}"/>
    <dataValidation type="list" allowBlank="1" showInputMessage="1" showErrorMessage="1" sqref="B66" xr:uid="{00000000-0002-0000-0300-000003000000}">
      <formula1>$A$185:$A$187</formula1>
    </dataValidation>
    <dataValidation allowBlank="1" showInputMessage="1" showErrorMessage="1" prompt="wpisz liczbę wszystkich baz instalacji wielofirmowej" sqref="E81" xr:uid="{00000000-0002-0000-0300-000004000000}"/>
    <dataValidation allowBlank="1" showErrorMessage="1" prompt="wskaż przedział" sqref="F67" xr:uid="{00000000-0002-0000-0300-000005000000}"/>
    <dataValidation allowBlank="1" showErrorMessage="1" prompt="wpisz maksymalną liczbę stanowisk z największej bazy,_x000a_PRZYKŁAD:_x000a_Pulpit Kierownika będzie użytkowny w 3 bazach:_x000a_w 1. - 5 dostępów_x000a_w 2. - 3 dostepy_x000a_w 3. - 9 dostępów_x000a_w polu wpisujemy 9" sqref="F68" xr:uid="{00000000-0002-0000-0300-000006000000}"/>
    <dataValidation allowBlank="1" showErrorMessage="1" prompt="wpisz liczbę tabel" sqref="F64" xr:uid="{00000000-0002-0000-0300-000007000000}"/>
    <dataValidation allowBlank="1" showErrorMessage="1" prompt="zaznacz odpowiednią opcję" sqref="F35:F41 F43:F61" xr:uid="{00000000-0002-0000-0300-000008000000}"/>
    <dataValidation allowBlank="1" showInputMessage="1" showErrorMessage="1" prompt="wpisz liczbę stanowisk" sqref="E23:F23 E3" xr:uid="{00000000-0002-0000-0300-000009000000}"/>
    <dataValidation allowBlank="1" showInputMessage="1" showErrorMessage="1" prompt="wpisz maksymalną liczbę kierowników z największej bazy,_x000a_PRZYKŁAD:_x000a_P.Kierownika będzie użytkowny w 2 bazach:_x000a_w 1. - 5 dostępów, w 2. - 3 dostępy_x000a_zatem wpisujemy 5" sqref="E68" xr:uid="{00000000-0002-0000-0300-00000A000000}"/>
    <dataValidation allowBlank="1" showInputMessage="1" showErrorMessage="1" prompt="można dokupić jeżeli na licencji jest już min. jedno stanowsiko dowolnego modułu samodzielnego (patrz powyżej zaznaczone na zielono)" sqref="E7" xr:uid="{00000000-0002-0000-0300-00000B000000}"/>
    <dataValidation allowBlank="1" showInputMessage="1" showErrorMessage="1" prompt="wymaga min. jednego modułu pozwalającego_x000a_generować dokumenty sprzedaży (generujące_x000a_należności – Faktury/Handel, Księga Podatkowa_x000a_oraz Księga Handlowa)" sqref="E8" xr:uid="{00000000-0002-0000-0300-00000C000000}"/>
    <dataValidation allowBlank="1" showInputMessage="1" showErrorMessage="1" prompt="wymaga min. po 1 stanowisku modułów Handel_x000a_i CRM" sqref="E11" xr:uid="{00000000-0002-0000-0300-00000D000000}"/>
    <dataValidation allowBlank="1" showInputMessage="1" showErrorMessage="1" prompt="wymaga min. 1 stanowiska modułu Handel" sqref="E12" xr:uid="{00000000-0002-0000-0300-00000E000000}"/>
    <dataValidation allowBlank="1" showInputMessage="1" showErrorMessage="1" prompt="na licencji musi być inny, dowolny moduł, którego działanie chcemy oprocesować" sqref="E21" xr:uid="{00000000-0002-0000-0300-00000F000000}"/>
    <dataValidation allowBlank="1" showInputMessage="1" showErrorMessage="1" prompt="dowolny moduł, który chcemy &quot;poglądać&quot;" sqref="E24" xr:uid="{00000000-0002-0000-0300-000010000000}"/>
    <dataValidation allowBlank="1" showInputMessage="1" showErrorMessage="1" prompt="wymaga: Ewidencji Środków pieniężnych, dowolny moduł samodzielny (patrz powyżej zaznaczone na zielono)" sqref="E25" xr:uid="{00000000-0002-0000-0300-000011000000}"/>
    <dataValidation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sqref="D32" xr:uid="{00000000-0002-0000-0300-000012000000}"/>
    <dataValidation allowBlank="1" showInputMessage="1" showErrorMessage="1" prompt="wymaga min. po 1 stanowisku modułów Handel_x000a_i Produkcja _x000a_" sqref="F28" xr:uid="{00000000-0002-0000-0300-000014000000}"/>
    <dataValidation allowBlank="1" showInputMessage="1" showErrorMessage="1" prompt="niedostępne w wersji okienkowej" sqref="E28 C28" xr:uid="{00000000-0002-0000-0300-000015000000}"/>
    <dataValidation allowBlank="1" showInputMessage="1" showErrorMessage="1" prompt="wymaga na licecnji min. 1 st. Produkcji  oraz 1 st. Handlu " sqref="D28" xr:uid="{00000000-0002-0000-0300-000016000000}"/>
    <dataValidation type="custom" allowBlank="1" showInputMessage="1" showErrorMessage="1" sqref="B3:B29" xr:uid="{00000000-0002-0000-0300-000017000000}">
      <formula1>#REF!</formula1>
    </dataValidation>
    <dataValidation allowBlank="1" showInputMessage="1" showErrorMessage="1" prompt=" " sqref="F29" xr:uid="{00000000-0002-0000-0300-000018000000}"/>
  </dataValidations>
  <pageMargins left="0.7" right="0.7" top="0.75" bottom="0.75" header="0.3" footer="0.3"/>
  <pageSetup paperSize="9" orientation="portrait" horizontalDpi="300" r:id="rId1"/>
  <ignoredErrors>
    <ignoredError sqref="H66 H75 H81 G23:G26 H31 G10 G31" formula="1"/>
  </ignoredErrors>
  <extLst>
    <ext xmlns:x14="http://schemas.microsoft.com/office/spreadsheetml/2009/9/main" uri="{CCE6A557-97BC-4b89-ADB6-D9C93CAAB3DF}">
      <x14:dataValidations xmlns:xm="http://schemas.microsoft.com/office/excel/2006/main" xWindow="597" yWindow="503" count="28">
        <x14:dataValidation type="list" allowBlank="1" showInputMessage="1" showErrorMessage="1" prompt="dowolny moduł min. w wersji złotej_x000a_(przynajmniej jedno, dowolne stanowsiko w ramach licencji Klienta musi być złote)" xr:uid="{00000000-0002-0000-0300-00001B000000}">
          <x14:formula1>
            <xm:f>'Cennik enova365'!$K$13:$K$14</xm:f>
          </x14:formula1>
          <xm:sqref>E57 E59:E60</xm:sqref>
        </x14:dataValidation>
        <x14:dataValidation type="list" allowBlank="1" showInputMessage="1" showErrorMessage="1" prompt="zaznacz odpowiednią opcję" xr:uid="{00000000-0002-0000-0300-00001C000000}">
          <x14:formula1>
            <xm:f>'Cennik enova365'!$K$13:$K$14</xm:f>
          </x14:formula1>
          <xm:sqref>B64</xm:sqref>
        </x14:dataValidation>
        <x14:dataValidation type="list" allowBlank="1" showInputMessage="1" showErrorMessage="1" xr:uid="{00000000-0002-0000-0300-00001D000000}">
          <x14:formula1>
            <xm:f>'Cennik enova365'!$K$13:$K$14</xm:f>
          </x14:formula1>
          <xm:sqref>E83</xm:sqref>
        </x14:dataValidation>
        <x14:dataValidation type="list" allowBlank="1" showInputMessage="1" showErrorMessage="1" prompt="wymaga min. 1 stanowiska modułu CRM lub Projekty_x000a_" xr:uid="{00000000-0002-0000-0300-00001E000000}">
          <x14:formula1>
            <xm:f>'Cennik enova365'!$K$13:$K$14</xm:f>
          </x14:formula1>
          <xm:sqref>E58</xm:sqref>
        </x14:dataValidation>
        <x14:dataValidation type="list" allowBlank="1" showInputMessage="1" showErrorMessage="1" prompt="dowolny moduł min. w wersji srebrnej" xr:uid="{00000000-0002-0000-0300-000020000000}">
          <x14:formula1>
            <xm:f>'Cennik enova365'!$K$13:$K$14</xm:f>
          </x14:formula1>
          <xm:sqref>E52</xm:sqref>
        </x14:dataValidation>
        <x14:dataValidation type="list" allowBlank="1" showInputMessage="1" showErrorMessage="1" prompt="wymaga min. 1 stanowisko modułu Handel lub Faktury_x000a_" xr:uid="{00000000-0002-0000-0300-000021000000}">
          <x14:formula1>
            <xm:f>'Cennik enova365'!$K$13:$K$14</xm:f>
          </x14:formula1>
          <xm:sqref>E51</xm:sqref>
        </x14:dataValidation>
        <x14:dataValidation type="list" allowBlank="1" showInputMessage="1" showErrorMessage="1" prompt="wymaga min. po 1 stanowisku modułów Kadry Płace i Handel" xr:uid="{00000000-0002-0000-0300-000024000000}">
          <x14:formula1>
            <xm:f>'Cennik enova365'!$K$13:$K$14</xm:f>
          </x14:formula1>
          <xm:sqref>E41</xm:sqref>
        </x14:dataValidation>
        <x14:dataValidation type="list" allowBlank="1" showInputMessage="1" showErrorMessage="1" prompt="dowolny moduł min. w wersji złotej_x000a_(przynajmniej jedno, dowolne stanowsiko w ramach licencji Klienta musi być multi)" xr:uid="{00000000-0002-0000-0300-000025000000}">
          <x14:formula1>
            <xm:f>'Cennik enova365'!$K$13:$K$14</xm:f>
          </x14:formula1>
          <xm:sqref>E55</xm:sqref>
        </x14:dataValidation>
        <x14:dataValidation type="list" allowBlank="1" showInputMessage="1" showErrorMessage="1" prompt="wybierz przedział" xr:uid="{00000000-0002-0000-0300-000026000000}">
          <x14:formula1>
            <xm:f>'Cennik enova365'!$A$89:$A$94</xm:f>
          </x14:formula1>
          <xm:sqref>E67</xm:sqref>
        </x14:dataValidation>
        <x14:dataValidation type="list" allowBlank="1" showInputMessage="1" showErrorMessage="1" prompt="wymaga min. 1 stanowiska modułu Workflow w wariacie platynowym oraz innego Pulpitu" xr:uid="{00000000-0002-0000-0300-000027000000}">
          <x14:formula1>
            <xm:f>'Cennik enova365'!$K$13:$K$14</xm:f>
          </x14:formula1>
          <xm:sqref>B70</xm:sqref>
        </x14:dataValidation>
        <x14:dataValidation type="list" allowBlank="1" showInputMessage="1" showErrorMessage="1" prompt="wymaga min. 1 stanowiska modułu Handel lub CRM" xr:uid="{00000000-0002-0000-0300-000028000000}">
          <x14:formula1>
            <xm:f>'Cennik enova365'!$K$13:$K$14</xm:f>
          </x14:formula1>
          <xm:sqref>B69</xm:sqref>
        </x14:dataValidation>
        <x14:dataValidation type="list" allowBlank="1" showInputMessage="1" showErrorMessage="1" prompt="wymaga Pulpitu Pracownika oraz min. 1 stanowiska modułu Kadry Płace_x000a_" xr:uid="{00000000-0002-0000-0300-000029000000}">
          <x14:formula1>
            <xm:f>'Cennik enova365'!$K$13:$K$14</xm:f>
          </x14:formula1>
          <xm:sqref>B68</xm:sqref>
        </x14:dataValidation>
        <x14:dataValidation type="list" allowBlank="1" showInputMessage="1" showErrorMessage="1" prompt="wymaga min. 1 stanowiska modułu Kadry Płace" xr:uid="{00000000-0002-0000-0300-00002A000000}">
          <x14:formula1>
            <xm:f>'Cennik enova365'!$K$13:$K$14</xm:f>
          </x14:formula1>
          <xm:sqref>B67 E35 E37:E40 E42:E44</xm:sqref>
        </x14:dataValidation>
        <x14:dataValidation type="list" allowBlank="1" showInputMessage="1" showErrorMessage="1" prompt="wybierz przedział" xr:uid="{00000000-0002-0000-0300-00002B000000}">
          <x14:formula1>
            <xm:f>'Cennik enova365'!$A$107:$A$112</xm:f>
          </x14:formula1>
          <xm:sqref>E70:E72</xm:sqref>
        </x14:dataValidation>
        <x14:dataValidation type="list" allowBlank="1" showInputMessage="1" showErrorMessage="1" prompt="wybierz przedział" xr:uid="{00000000-0002-0000-0300-00002C000000}">
          <x14:formula1>
            <xm:f>'Cennik enova365'!$A$99:$A$104</xm:f>
          </x14:formula1>
          <xm:sqref>E69</xm:sqref>
        </x14:dataValidation>
        <x14:dataValidation type="list" allowBlank="1" showInputMessage="1" showErrorMessage="1" prompt="wymaga min. 1 stanowiska modułu Handel" xr:uid="{00000000-0002-0000-0300-00002D000000}">
          <x14:formula1>
            <xm:f>'Cennik enova365'!$K$13:$K$14</xm:f>
          </x14:formula1>
          <xm:sqref>E56</xm:sqref>
        </x14:dataValidation>
        <x14:dataValidation type="list" allowBlank="1" showInputMessage="1" showErrorMessage="1" errorTitle="Wprowadź moduły podstawowe" error="wprowadź moduły podstawowe, wówczas paramerty BI uzupełnią się samodzielnie" promptTitle="Wartość wyliczy się samodzielnie" prompt="pamiętaj, że cena jest zależna od łącznej liczby stanowisk modułów podstawowych, wprowadź je wszystkie" xr:uid="{00000000-0002-0000-0300-00002E000000}">
          <x14:formula1>
            <xm:f>'Cennik enova365'!$K$13:$K$14</xm:f>
          </x14:formula1>
          <xm:sqref>E32</xm:sqref>
        </x14:dataValidation>
        <x14:dataValidation type="list" allowBlank="1" showInputMessage="1" showErrorMessage="1" prompt="wymaga modułu BI oraz innego Pulpitu" xr:uid="{00000000-0002-0000-0300-00002F000000}">
          <x14:formula1>
            <xm:f>'Cennik enova365'!$K$13:$K$14</xm:f>
          </x14:formula1>
          <xm:sqref>B71</xm:sqref>
        </x14:dataValidation>
        <x14:dataValidation type="list" allowBlank="1" showInputMessage="1" showErrorMessage="1" prompt="wymagany Pulpit Pracownika" xr:uid="{00000000-0002-0000-0300-000030000000}">
          <x14:formula1>
            <xm:f>'Cennik enova365'!$K$13:$K$14</xm:f>
          </x14:formula1>
          <xm:sqref>B73</xm:sqref>
        </x14:dataValidation>
        <x14:dataValidation type="list" allowBlank="1" showInputMessage="1" showErrorMessage="1" prompt="wymaga min. po 1 stanowisku modułów Praca Hybrydowa, Kadry Płace oraz Pulpitu Pracownika_x000a__x000a_" xr:uid="{00000000-0002-0000-0300-000031000000}">
          <x14:formula1>
            <xm:f>'Cennik enova365'!$K$13:$K$14</xm:f>
          </x14:formula1>
          <xm:sqref>B72</xm:sqref>
        </x14:dataValidation>
        <x14:dataValidation type="list" allowBlank="1" showInputMessage="1" showErrorMessage="1" prompt="abonament roczny, wybierz przedział" xr:uid="{00000000-0002-0000-0300-000033000000}">
          <x14:formula1>
            <xm:f>'Cennik enova365'!$K$13:$K$14</xm:f>
          </x14:formula1>
          <xm:sqref>B86</xm:sqref>
        </x14:dataValidation>
        <x14:dataValidation type="list" allowBlank="1" showInputMessage="1" showErrorMessage="1" prompt="wymaga min. 1 stanowiska modułu Kadry Płace_x000a_" xr:uid="{811331F6-18FD-400B-BE4F-CCE909B7103C}">
          <x14:formula1>
            <xm:f>'Cennik enova365'!$K$13:$K$14</xm:f>
          </x14:formula1>
          <xm:sqref>E36</xm:sqref>
        </x14:dataValidation>
        <x14:dataValidation type="list" allowBlank="1" showInputMessage="1" showErrorMessage="1" prompt="wymaga min. 1 stanowiska modułu Księga Handlowa" xr:uid="{21258025-9C81-4A07-89AB-A033FD403B7C}">
          <x14:formula1>
            <xm:f>'Cennik enova365'!$K$13:$K$14</xm:f>
          </x14:formula1>
          <xm:sqref>E45:E46</xm:sqref>
        </x14:dataValidation>
        <x14:dataValidation type="list" allowBlank="1" showInputMessage="1" showErrorMessage="1" prompt="dowolny moduł samodzielny (patrz powyżej zaznaczone na zielono)" xr:uid="{CE0187EB-1A2F-4A02-A581-F81C18E0A4B3}">
          <x14:formula1>
            <xm:f>'Cennik enova365'!$K$13:$K$14</xm:f>
          </x14:formula1>
          <xm:sqref>E47:E48</xm:sqref>
        </x14:dataValidation>
        <x14:dataValidation type="list" allowBlank="1" showInputMessage="1" showErrorMessage="1" prompt="wymaga min. 1 stanowiska modułu Księga Handlowa lub Księga Podatkowa" xr:uid="{2F46568B-1CBF-472A-A337-9AA737C0B081}">
          <x14:formula1>
            <xm:f>'Cennik enova365'!$K$13:$K$14</xm:f>
          </x14:formula1>
          <xm:sqref>E49:E50</xm:sqref>
        </x14:dataValidation>
        <x14:dataValidation type="list" allowBlank="1" showInputMessage="1" showErrorMessage="1" prompt="wymaga min. 1 stanowisko modułu Handel lub Faktury" xr:uid="{49BAA9F0-50D9-4D8E-8838-5732D81BEC4A}">
          <x14:formula1>
            <xm:f>'Cennik enova365'!$K$13:$K$14</xm:f>
          </x14:formula1>
          <xm:sqref>E53:E54</xm:sqref>
        </x14:dataValidation>
        <x14:dataValidation type="list" allowBlank="1" showInputMessage="1" showErrorMessage="1" prompt="wymaga min. 1 stanowisko modułu Handel oraz dodatku Integrator_x000a_Dodatek płatny dla wszystkich wersji kolorystycznych enova365." xr:uid="{F98BBFBE-DB5B-4965-BC9C-0E99C047D6A4}">
          <x14:formula1>
            <xm:f>'Cennik enova365'!$K$13:$K$14</xm:f>
          </x14:formula1>
          <xm:sqref>E61</xm:sqref>
        </x14:dataValidation>
        <x14:dataValidation type="list" allowBlank="1" showInputMessage="1" showErrorMessage="1" prompt="abonament roczny, wybierz przedział" xr:uid="{00000000-0002-0000-0300-000032000000}">
          <x14:formula1>
            <xm:f>'Cennik enova365'!$A$161:$A$173</xm:f>
          </x14:formula1>
          <xm:sqref>E86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4"/>
  <sheetViews>
    <sheetView zoomScale="70" zoomScaleNormal="70" workbookViewId="0">
      <selection activeCell="A3" sqref="A3"/>
    </sheetView>
  </sheetViews>
  <sheetFormatPr defaultRowHeight="14.4" x14ac:dyDescent="0.3"/>
  <cols>
    <col min="1" max="1" width="70.6640625" customWidth="1"/>
    <col min="2" max="2" width="28.6640625" customWidth="1"/>
    <col min="3" max="3" width="25" customWidth="1"/>
    <col min="4" max="4" width="25.5546875" customWidth="1"/>
    <col min="5" max="5" width="25.44140625" customWidth="1"/>
    <col min="6" max="6" width="24.5546875" customWidth="1"/>
    <col min="7" max="7" width="20.5546875" customWidth="1"/>
    <col min="8" max="8" width="28.6640625" customWidth="1"/>
    <col min="9" max="9" width="24.33203125" customWidth="1"/>
    <col min="11" max="11" width="25.6640625" customWidth="1"/>
    <col min="12" max="12" width="18.5546875" customWidth="1"/>
    <col min="13" max="13" width="18.33203125" customWidth="1"/>
  </cols>
  <sheetData>
    <row r="1" spans="1:12" x14ac:dyDescent="0.3">
      <c r="K1" s="4" t="s">
        <v>57</v>
      </c>
    </row>
    <row r="2" spans="1:12" x14ac:dyDescent="0.3">
      <c r="K2" t="s">
        <v>1</v>
      </c>
      <c r="L2" t="s">
        <v>1</v>
      </c>
    </row>
    <row r="3" spans="1:12" x14ac:dyDescent="0.3">
      <c r="A3" s="5" t="s">
        <v>67</v>
      </c>
      <c r="K3" t="s">
        <v>3</v>
      </c>
      <c r="L3" t="s">
        <v>5</v>
      </c>
    </row>
    <row r="4" spans="1:12" x14ac:dyDescent="0.3">
      <c r="A4" s="2"/>
      <c r="K4" t="s">
        <v>5</v>
      </c>
    </row>
    <row r="5" spans="1:12" x14ac:dyDescent="0.3">
      <c r="A5" s="225" t="s">
        <v>44</v>
      </c>
      <c r="B5" s="226" t="s">
        <v>185</v>
      </c>
      <c r="C5" s="226" t="s">
        <v>186</v>
      </c>
      <c r="D5" s="227" t="s">
        <v>187</v>
      </c>
      <c r="E5" s="227" t="s">
        <v>188</v>
      </c>
      <c r="F5" s="228" t="s">
        <v>189</v>
      </c>
      <c r="G5" s="228" t="s">
        <v>190</v>
      </c>
      <c r="H5" s="229" t="s">
        <v>191</v>
      </c>
      <c r="I5" s="229" t="s">
        <v>192</v>
      </c>
    </row>
    <row r="6" spans="1:12" x14ac:dyDescent="0.3">
      <c r="A6" t="s">
        <v>108</v>
      </c>
      <c r="B6" s="212">
        <v>2040</v>
      </c>
      <c r="C6" s="212">
        <v>2520</v>
      </c>
      <c r="D6" s="212">
        <v>4950</v>
      </c>
      <c r="E6" s="212">
        <v>5550</v>
      </c>
      <c r="F6" s="212">
        <v>7900</v>
      </c>
      <c r="G6" s="212">
        <v>8290</v>
      </c>
      <c r="H6" s="212">
        <v>9480</v>
      </c>
      <c r="I6" s="212">
        <v>9950</v>
      </c>
      <c r="K6" s="4" t="s">
        <v>0</v>
      </c>
    </row>
    <row r="7" spans="1:12" x14ac:dyDescent="0.3">
      <c r="A7" t="s">
        <v>109</v>
      </c>
      <c r="B7" s="212">
        <v>715</v>
      </c>
      <c r="C7" s="212">
        <v>875</v>
      </c>
      <c r="D7" s="213" t="s">
        <v>66</v>
      </c>
      <c r="E7" s="213" t="s">
        <v>66</v>
      </c>
      <c r="F7" s="212">
        <v>1530</v>
      </c>
      <c r="G7" s="212">
        <v>1600</v>
      </c>
      <c r="H7" s="212">
        <v>1830</v>
      </c>
      <c r="I7" s="212">
        <v>1930</v>
      </c>
      <c r="K7" t="s">
        <v>42</v>
      </c>
    </row>
    <row r="8" spans="1:12" x14ac:dyDescent="0.3">
      <c r="A8" t="s">
        <v>110</v>
      </c>
      <c r="B8" s="213" t="s">
        <v>66</v>
      </c>
      <c r="C8" s="213" t="s">
        <v>66</v>
      </c>
      <c r="D8" s="214">
        <v>3770</v>
      </c>
      <c r="E8" s="212">
        <v>4180</v>
      </c>
      <c r="F8" s="212">
        <v>7190</v>
      </c>
      <c r="G8" s="212">
        <v>7550</v>
      </c>
      <c r="H8" s="212">
        <v>8630</v>
      </c>
      <c r="I8" s="212">
        <v>9060</v>
      </c>
      <c r="K8" t="s">
        <v>43</v>
      </c>
    </row>
    <row r="9" spans="1:12" x14ac:dyDescent="0.3">
      <c r="A9" t="s">
        <v>111</v>
      </c>
      <c r="B9" s="212">
        <v>435</v>
      </c>
      <c r="C9" s="212">
        <v>545</v>
      </c>
      <c r="D9" s="214">
        <v>1490</v>
      </c>
      <c r="E9" s="212">
        <v>1650</v>
      </c>
      <c r="F9" s="212">
        <v>3650</v>
      </c>
      <c r="G9" s="212">
        <v>3830</v>
      </c>
      <c r="H9" s="212">
        <v>4380</v>
      </c>
      <c r="I9" s="212">
        <v>4590</v>
      </c>
    </row>
    <row r="10" spans="1:12" x14ac:dyDescent="0.3">
      <c r="A10" t="s">
        <v>112</v>
      </c>
      <c r="B10" s="212">
        <v>595</v>
      </c>
      <c r="C10" s="212">
        <v>665</v>
      </c>
      <c r="D10" s="214">
        <v>595</v>
      </c>
      <c r="E10" s="212">
        <v>665</v>
      </c>
      <c r="F10" s="212">
        <v>595</v>
      </c>
      <c r="G10" s="212">
        <v>665</v>
      </c>
      <c r="H10" s="212">
        <v>695</v>
      </c>
      <c r="I10" s="212">
        <v>785</v>
      </c>
    </row>
    <row r="11" spans="1:12" x14ac:dyDescent="0.3">
      <c r="A11" t="s">
        <v>154</v>
      </c>
      <c r="B11" s="213" t="s">
        <v>66</v>
      </c>
      <c r="C11" s="213" t="s">
        <v>66</v>
      </c>
      <c r="D11" s="214">
        <v>1360</v>
      </c>
      <c r="E11" s="212">
        <v>1490</v>
      </c>
      <c r="F11" s="212">
        <v>1360</v>
      </c>
      <c r="G11" s="212">
        <v>1490</v>
      </c>
      <c r="H11" s="212">
        <v>1570</v>
      </c>
      <c r="I11" s="212">
        <v>1790</v>
      </c>
    </row>
    <row r="12" spans="1:12" x14ac:dyDescent="0.3">
      <c r="A12" t="s">
        <v>113</v>
      </c>
      <c r="B12" s="212">
        <v>285</v>
      </c>
      <c r="C12" s="212">
        <v>345</v>
      </c>
      <c r="D12" s="214">
        <v>735</v>
      </c>
      <c r="E12" s="212">
        <v>815</v>
      </c>
      <c r="F12" s="212">
        <v>2190</v>
      </c>
      <c r="G12" s="212">
        <v>2290</v>
      </c>
      <c r="H12" s="212">
        <v>2620</v>
      </c>
      <c r="I12" s="212">
        <v>2760</v>
      </c>
      <c r="K12" s="5" t="s">
        <v>59</v>
      </c>
    </row>
    <row r="13" spans="1:12" x14ac:dyDescent="0.3">
      <c r="A13" t="s">
        <v>114</v>
      </c>
      <c r="B13" s="212">
        <v>1190</v>
      </c>
      <c r="C13" s="212">
        <v>1470</v>
      </c>
      <c r="D13" s="214">
        <v>2240</v>
      </c>
      <c r="E13" s="212">
        <v>2480</v>
      </c>
      <c r="F13" s="212">
        <v>5400</v>
      </c>
      <c r="G13" s="212">
        <v>5670</v>
      </c>
      <c r="H13" s="212">
        <v>6480</v>
      </c>
      <c r="I13" s="212">
        <v>6790</v>
      </c>
      <c r="K13" t="s">
        <v>2</v>
      </c>
    </row>
    <row r="14" spans="1:12" x14ac:dyDescent="0.3">
      <c r="A14" t="s">
        <v>115</v>
      </c>
      <c r="B14" s="213" t="s">
        <v>66</v>
      </c>
      <c r="C14" s="213" t="s">
        <v>66</v>
      </c>
      <c r="D14" s="214">
        <v>2420</v>
      </c>
      <c r="E14" s="212">
        <v>2670</v>
      </c>
      <c r="F14" s="212">
        <v>6180</v>
      </c>
      <c r="G14" s="212">
        <v>6490</v>
      </c>
      <c r="H14" s="212">
        <v>7410</v>
      </c>
      <c r="I14" s="212">
        <v>7780</v>
      </c>
      <c r="K14" t="s">
        <v>4</v>
      </c>
      <c r="L14" s="182"/>
    </row>
    <row r="15" spans="1:12" x14ac:dyDescent="0.3">
      <c r="A15" t="s">
        <v>116</v>
      </c>
      <c r="B15" s="213" t="s">
        <v>66</v>
      </c>
      <c r="C15" s="213" t="s">
        <v>66</v>
      </c>
      <c r="D15" s="212">
        <v>3500</v>
      </c>
      <c r="E15" s="212">
        <v>4240</v>
      </c>
      <c r="F15" s="212">
        <v>5010</v>
      </c>
      <c r="G15" s="212">
        <v>5760</v>
      </c>
      <c r="H15" s="212">
        <v>6010</v>
      </c>
      <c r="I15" s="212">
        <v>6910</v>
      </c>
      <c r="L15" s="182"/>
    </row>
    <row r="16" spans="1:12" x14ac:dyDescent="0.3">
      <c r="A16" t="s">
        <v>117</v>
      </c>
      <c r="B16" s="212">
        <v>605</v>
      </c>
      <c r="C16" s="212">
        <v>745</v>
      </c>
      <c r="D16" s="212">
        <v>1380</v>
      </c>
      <c r="E16" s="212">
        <v>1530</v>
      </c>
      <c r="F16" s="212">
        <v>3750</v>
      </c>
      <c r="G16" s="212">
        <v>3940</v>
      </c>
      <c r="H16" s="212">
        <v>4510</v>
      </c>
      <c r="I16" s="212">
        <v>4730</v>
      </c>
      <c r="K16" s="5" t="s">
        <v>60</v>
      </c>
      <c r="L16" s="182"/>
    </row>
    <row r="17" spans="1:12" x14ac:dyDescent="0.3">
      <c r="A17" t="s">
        <v>118</v>
      </c>
      <c r="B17" s="212">
        <v>435</v>
      </c>
      <c r="C17" s="212">
        <v>545</v>
      </c>
      <c r="D17" s="212">
        <v>1050</v>
      </c>
      <c r="E17" s="212">
        <v>1160</v>
      </c>
      <c r="F17" s="212">
        <v>2950</v>
      </c>
      <c r="G17" s="212">
        <v>3080</v>
      </c>
      <c r="H17" s="212">
        <v>3540</v>
      </c>
      <c r="I17" s="212">
        <v>3710</v>
      </c>
      <c r="K17" s="1">
        <v>1</v>
      </c>
      <c r="L17" s="182"/>
    </row>
    <row r="18" spans="1:12" x14ac:dyDescent="0.3">
      <c r="A18" t="s">
        <v>119</v>
      </c>
      <c r="B18" s="213" t="s">
        <v>66</v>
      </c>
      <c r="C18" s="213" t="s">
        <v>66</v>
      </c>
      <c r="D18" s="212">
        <v>1190</v>
      </c>
      <c r="E18" s="212">
        <v>1330</v>
      </c>
      <c r="F18" s="212">
        <v>2950</v>
      </c>
      <c r="G18" s="212">
        <v>3080</v>
      </c>
      <c r="H18" s="212">
        <v>3540</v>
      </c>
      <c r="I18" s="212">
        <v>3710</v>
      </c>
      <c r="K18" s="1">
        <v>2</v>
      </c>
    </row>
    <row r="19" spans="1:12" x14ac:dyDescent="0.3">
      <c r="A19" t="s">
        <v>120</v>
      </c>
      <c r="B19" s="214">
        <v>435</v>
      </c>
      <c r="C19" s="214">
        <v>545</v>
      </c>
      <c r="D19" s="212">
        <v>1050</v>
      </c>
      <c r="E19" s="212">
        <v>1160</v>
      </c>
      <c r="F19" s="212">
        <v>2950</v>
      </c>
      <c r="G19" s="212">
        <v>3080</v>
      </c>
      <c r="H19" s="212">
        <v>3540</v>
      </c>
      <c r="I19" s="212">
        <v>3710</v>
      </c>
      <c r="K19" s="1">
        <v>3</v>
      </c>
    </row>
    <row r="20" spans="1:12" x14ac:dyDescent="0.3">
      <c r="A20" t="s">
        <v>121</v>
      </c>
      <c r="B20" s="213" t="s">
        <v>66</v>
      </c>
      <c r="C20" s="213" t="s">
        <v>66</v>
      </c>
      <c r="D20" s="212">
        <v>1050</v>
      </c>
      <c r="E20" s="212">
        <v>1160</v>
      </c>
      <c r="F20" s="212">
        <v>4410</v>
      </c>
      <c r="G20" s="212">
        <v>4630</v>
      </c>
      <c r="H20" s="212">
        <v>5290</v>
      </c>
      <c r="I20" s="212">
        <v>5550</v>
      </c>
      <c r="K20" s="1">
        <v>4</v>
      </c>
    </row>
    <row r="21" spans="1:12" x14ac:dyDescent="0.3">
      <c r="A21" t="s">
        <v>122</v>
      </c>
      <c r="B21" s="213" t="s">
        <v>66</v>
      </c>
      <c r="C21" s="213" t="s">
        <v>66</v>
      </c>
      <c r="D21" s="212">
        <v>2570</v>
      </c>
      <c r="E21" s="212">
        <v>2840</v>
      </c>
      <c r="F21" s="212">
        <v>6630</v>
      </c>
      <c r="G21" s="212">
        <v>6950</v>
      </c>
      <c r="H21" s="212">
        <v>7950</v>
      </c>
      <c r="I21" s="212">
        <v>8350</v>
      </c>
      <c r="K21" s="1">
        <v>5</v>
      </c>
    </row>
    <row r="22" spans="1:12" x14ac:dyDescent="0.3">
      <c r="A22" t="s">
        <v>229</v>
      </c>
      <c r="B22" s="213" t="s">
        <v>66</v>
      </c>
      <c r="C22" s="213" t="s">
        <v>66</v>
      </c>
      <c r="D22" s="212">
        <v>4500</v>
      </c>
      <c r="E22" s="212">
        <v>5600</v>
      </c>
      <c r="F22" s="212">
        <v>6950</v>
      </c>
      <c r="G22" s="212">
        <v>7990</v>
      </c>
      <c r="H22" s="212">
        <v>8340</v>
      </c>
      <c r="I22" s="212">
        <v>9590</v>
      </c>
      <c r="K22" s="1"/>
    </row>
    <row r="23" spans="1:12" x14ac:dyDescent="0.3">
      <c r="A23" t="s">
        <v>235</v>
      </c>
      <c r="B23" s="213" t="s">
        <v>66</v>
      </c>
      <c r="C23" s="213" t="s">
        <v>66</v>
      </c>
      <c r="D23" s="212">
        <v>1800</v>
      </c>
      <c r="E23" s="212">
        <v>2250</v>
      </c>
      <c r="F23" s="212">
        <v>2790</v>
      </c>
      <c r="G23" s="212">
        <v>3210</v>
      </c>
      <c r="H23" s="212">
        <v>3350</v>
      </c>
      <c r="I23" s="212">
        <v>3850</v>
      </c>
      <c r="K23" s="1"/>
    </row>
    <row r="24" spans="1:12" x14ac:dyDescent="0.3">
      <c r="A24" t="s">
        <v>123</v>
      </c>
      <c r="B24" s="213" t="s">
        <v>66</v>
      </c>
      <c r="C24" s="213" t="s">
        <v>66</v>
      </c>
      <c r="D24" s="212">
        <v>415</v>
      </c>
      <c r="E24" s="212">
        <v>415</v>
      </c>
      <c r="F24" s="212">
        <v>805</v>
      </c>
      <c r="G24" s="212">
        <v>805</v>
      </c>
      <c r="H24" s="212">
        <v>955</v>
      </c>
      <c r="I24" s="212">
        <v>955</v>
      </c>
    </row>
    <row r="25" spans="1:12" x14ac:dyDescent="0.3">
      <c r="A25" t="s">
        <v>124</v>
      </c>
      <c r="B25" s="213" t="s">
        <v>66</v>
      </c>
      <c r="C25" s="213" t="s">
        <v>66</v>
      </c>
      <c r="D25" s="212">
        <v>535</v>
      </c>
      <c r="E25" s="212">
        <v>535</v>
      </c>
      <c r="F25" s="212">
        <v>535</v>
      </c>
      <c r="G25" s="212">
        <v>535</v>
      </c>
      <c r="H25" s="212">
        <v>625</v>
      </c>
      <c r="I25" s="212">
        <v>625</v>
      </c>
      <c r="K25" s="5" t="s">
        <v>61</v>
      </c>
    </row>
    <row r="26" spans="1:12" x14ac:dyDescent="0.3">
      <c r="A26" t="s">
        <v>125</v>
      </c>
      <c r="B26" s="213" t="s">
        <v>66</v>
      </c>
      <c r="C26" s="213" t="s">
        <v>66</v>
      </c>
      <c r="D26" s="212">
        <v>3420</v>
      </c>
      <c r="E26" s="212">
        <v>3420</v>
      </c>
      <c r="F26" s="212">
        <v>3420</v>
      </c>
      <c r="G26" s="212">
        <v>3420</v>
      </c>
      <c r="H26" s="212">
        <v>3980</v>
      </c>
      <c r="I26" s="212">
        <v>3980</v>
      </c>
      <c r="K26" s="1">
        <v>1</v>
      </c>
    </row>
    <row r="27" spans="1:12" x14ac:dyDescent="0.3">
      <c r="A27" t="s">
        <v>126</v>
      </c>
      <c r="B27" s="214">
        <v>1050</v>
      </c>
      <c r="C27" s="214">
        <v>1160</v>
      </c>
      <c r="D27" s="212">
        <v>1050</v>
      </c>
      <c r="E27" s="212">
        <v>1160</v>
      </c>
      <c r="F27" s="212">
        <v>2200</v>
      </c>
      <c r="G27" s="212">
        <v>2320</v>
      </c>
      <c r="H27" s="212">
        <v>2650</v>
      </c>
      <c r="I27" s="212">
        <v>2780</v>
      </c>
      <c r="K27" s="1">
        <v>2</v>
      </c>
    </row>
    <row r="28" spans="1:12" x14ac:dyDescent="0.3">
      <c r="A28" t="s">
        <v>127</v>
      </c>
      <c r="B28" s="213" t="s">
        <v>66</v>
      </c>
      <c r="C28" s="213" t="s">
        <v>66</v>
      </c>
      <c r="D28" s="212">
        <v>1190</v>
      </c>
      <c r="E28" s="212">
        <v>1330</v>
      </c>
      <c r="F28" s="212">
        <v>5890</v>
      </c>
      <c r="G28" s="212">
        <v>6180</v>
      </c>
      <c r="H28" s="212">
        <v>7060</v>
      </c>
      <c r="I28" s="212">
        <v>7420</v>
      </c>
      <c r="K28" s="1">
        <v>3</v>
      </c>
    </row>
    <row r="29" spans="1:12" x14ac:dyDescent="0.3">
      <c r="A29" t="s">
        <v>128</v>
      </c>
      <c r="B29" s="213" t="s">
        <v>66</v>
      </c>
      <c r="C29" s="213" t="s">
        <v>66</v>
      </c>
      <c r="D29" s="212">
        <v>745</v>
      </c>
      <c r="E29" s="214">
        <v>825</v>
      </c>
      <c r="F29" s="214">
        <v>2200</v>
      </c>
      <c r="G29" s="214">
        <v>2320</v>
      </c>
      <c r="H29" s="214">
        <v>2650</v>
      </c>
      <c r="I29" s="214">
        <v>2780</v>
      </c>
      <c r="K29" s="1">
        <v>4</v>
      </c>
    </row>
    <row r="30" spans="1:12" x14ac:dyDescent="0.3">
      <c r="A30" t="s">
        <v>129</v>
      </c>
      <c r="B30" s="213" t="s">
        <v>66</v>
      </c>
      <c r="C30" s="213" t="s">
        <v>66</v>
      </c>
      <c r="D30" s="212">
        <v>485</v>
      </c>
      <c r="E30" s="212">
        <v>535</v>
      </c>
      <c r="F30" s="212">
        <v>1620</v>
      </c>
      <c r="G30" s="212">
        <v>1700</v>
      </c>
      <c r="H30" s="212">
        <v>1950</v>
      </c>
      <c r="I30" s="212">
        <v>2040</v>
      </c>
      <c r="K30" s="1">
        <v>5</v>
      </c>
    </row>
    <row r="31" spans="1:12" x14ac:dyDescent="0.3">
      <c r="A31" t="s">
        <v>223</v>
      </c>
      <c r="B31" s="213" t="s">
        <v>66</v>
      </c>
      <c r="C31" s="213" t="s">
        <v>66</v>
      </c>
      <c r="D31" s="212">
        <v>205</v>
      </c>
      <c r="E31" s="212">
        <v>205</v>
      </c>
      <c r="F31" s="212">
        <v>205</v>
      </c>
      <c r="G31" s="212">
        <v>205</v>
      </c>
      <c r="H31" s="212">
        <v>205</v>
      </c>
      <c r="I31" s="212">
        <v>205</v>
      </c>
      <c r="K31" s="1">
        <v>6</v>
      </c>
    </row>
    <row r="32" spans="1:12" x14ac:dyDescent="0.3">
      <c r="A32" t="s">
        <v>221</v>
      </c>
      <c r="B32" s="213" t="s">
        <v>66</v>
      </c>
      <c r="C32" s="213" t="s">
        <v>66</v>
      </c>
      <c r="D32" s="213" t="s">
        <v>222</v>
      </c>
      <c r="E32" s="212">
        <v>1110</v>
      </c>
      <c r="F32" s="213" t="s">
        <v>222</v>
      </c>
      <c r="G32" s="212">
        <v>1110</v>
      </c>
      <c r="H32" s="213" t="s">
        <v>222</v>
      </c>
      <c r="I32" s="212">
        <v>1340</v>
      </c>
      <c r="K32" s="1">
        <v>7</v>
      </c>
    </row>
    <row r="33" spans="1:12" x14ac:dyDescent="0.3">
      <c r="K33" s="1">
        <v>8</v>
      </c>
    </row>
    <row r="34" spans="1:12" x14ac:dyDescent="0.3">
      <c r="A34" s="5" t="s">
        <v>27</v>
      </c>
      <c r="K34" s="1">
        <v>9</v>
      </c>
    </row>
    <row r="35" spans="1:12" x14ac:dyDescent="0.3">
      <c r="A35" s="225" t="s">
        <v>44</v>
      </c>
      <c r="B35" s="226" t="s">
        <v>185</v>
      </c>
      <c r="C35" s="226" t="s">
        <v>186</v>
      </c>
      <c r="D35" s="227" t="s">
        <v>187</v>
      </c>
      <c r="E35" s="227" t="s">
        <v>188</v>
      </c>
      <c r="F35" s="228" t="s">
        <v>189</v>
      </c>
      <c r="G35" s="228" t="s">
        <v>190</v>
      </c>
      <c r="K35" s="1">
        <v>10</v>
      </c>
    </row>
    <row r="36" spans="1:12" x14ac:dyDescent="0.3">
      <c r="A36" s="212" t="s">
        <v>130</v>
      </c>
      <c r="B36" s="212">
        <v>2450</v>
      </c>
      <c r="C36" s="212">
        <v>3030</v>
      </c>
      <c r="D36" s="212">
        <v>5940</v>
      </c>
      <c r="E36" s="212">
        <v>6660</v>
      </c>
      <c r="F36" s="212">
        <v>9480</v>
      </c>
      <c r="G36" s="212">
        <v>9950</v>
      </c>
      <c r="K36" s="1"/>
    </row>
    <row r="37" spans="1:12" x14ac:dyDescent="0.3">
      <c r="A37" s="212" t="s">
        <v>131</v>
      </c>
      <c r="B37" s="212">
        <v>855</v>
      </c>
      <c r="C37" s="212">
        <v>1060</v>
      </c>
      <c r="D37" s="213" t="s">
        <v>66</v>
      </c>
      <c r="E37" s="213" t="s">
        <v>66</v>
      </c>
      <c r="F37" s="212">
        <v>1830</v>
      </c>
      <c r="G37" s="212">
        <v>1930</v>
      </c>
      <c r="K37" s="5" t="s">
        <v>63</v>
      </c>
    </row>
    <row r="38" spans="1:12" x14ac:dyDescent="0.3">
      <c r="A38" s="212" t="s">
        <v>132</v>
      </c>
      <c r="B38" s="213" t="s">
        <v>66</v>
      </c>
      <c r="C38" s="213" t="s">
        <v>66</v>
      </c>
      <c r="D38" s="212">
        <v>4530</v>
      </c>
      <c r="E38" s="212">
        <v>5010</v>
      </c>
      <c r="F38" s="212">
        <v>8630</v>
      </c>
      <c r="G38" s="212">
        <v>9060</v>
      </c>
      <c r="K38" s="1">
        <v>5</v>
      </c>
    </row>
    <row r="39" spans="1:12" x14ac:dyDescent="0.3">
      <c r="A39" s="212" t="s">
        <v>133</v>
      </c>
      <c r="B39" s="212">
        <v>525</v>
      </c>
      <c r="C39" s="212">
        <v>645</v>
      </c>
      <c r="D39" s="212">
        <v>1780</v>
      </c>
      <c r="E39" s="212">
        <v>1970</v>
      </c>
      <c r="F39" s="212">
        <v>4380</v>
      </c>
      <c r="G39" s="212">
        <v>4590</v>
      </c>
    </row>
    <row r="40" spans="1:12" ht="15.6" x14ac:dyDescent="0.3">
      <c r="A40" s="211" t="s">
        <v>231</v>
      </c>
      <c r="B40" s="212">
        <v>715</v>
      </c>
      <c r="C40" s="212">
        <v>795</v>
      </c>
      <c r="D40" s="212">
        <v>715</v>
      </c>
      <c r="E40" s="212">
        <v>795</v>
      </c>
      <c r="F40" s="212">
        <v>715</v>
      </c>
      <c r="G40" s="212">
        <v>795</v>
      </c>
    </row>
    <row r="41" spans="1:12" x14ac:dyDescent="0.3">
      <c r="A41" s="212" t="s">
        <v>96</v>
      </c>
      <c r="B41" s="213" t="s">
        <v>66</v>
      </c>
      <c r="C41" s="213" t="s">
        <v>66</v>
      </c>
      <c r="D41" s="212">
        <v>1620</v>
      </c>
      <c r="E41" s="212">
        <v>1790</v>
      </c>
      <c r="F41" s="212">
        <v>1620</v>
      </c>
      <c r="G41" s="212">
        <v>1790</v>
      </c>
    </row>
    <row r="42" spans="1:12" x14ac:dyDescent="0.3">
      <c r="A42" s="212" t="s">
        <v>107</v>
      </c>
      <c r="B42" s="214">
        <v>335</v>
      </c>
      <c r="C42" s="214">
        <v>425</v>
      </c>
      <c r="D42" s="212">
        <v>885</v>
      </c>
      <c r="E42" s="212">
        <v>975</v>
      </c>
      <c r="F42" s="212">
        <v>2620</v>
      </c>
      <c r="G42" s="212">
        <v>2760</v>
      </c>
      <c r="K42" s="5" t="s">
        <v>194</v>
      </c>
    </row>
    <row r="43" spans="1:12" x14ac:dyDescent="0.3">
      <c r="A43" s="212" t="s">
        <v>177</v>
      </c>
      <c r="B43" s="214">
        <v>725</v>
      </c>
      <c r="C43" s="214">
        <v>895</v>
      </c>
      <c r="D43" s="212">
        <v>1650</v>
      </c>
      <c r="E43" s="212">
        <v>1830</v>
      </c>
      <c r="F43" s="212">
        <v>4510</v>
      </c>
      <c r="G43" s="212">
        <v>4730</v>
      </c>
      <c r="K43" s="210">
        <v>0.16</v>
      </c>
      <c r="L43" t="s">
        <v>152</v>
      </c>
    </row>
    <row r="44" spans="1:12" x14ac:dyDescent="0.3">
      <c r="A44" s="142" t="s">
        <v>178</v>
      </c>
      <c r="B44" s="213" t="s">
        <v>66</v>
      </c>
      <c r="C44" s="213" t="s">
        <v>66</v>
      </c>
      <c r="D44" s="212">
        <v>3090</v>
      </c>
      <c r="E44" s="212">
        <v>3400</v>
      </c>
      <c r="F44" s="212">
        <v>7950</v>
      </c>
      <c r="G44" s="212">
        <v>8350</v>
      </c>
      <c r="K44" s="210">
        <v>0.3</v>
      </c>
      <c r="L44" t="s">
        <v>195</v>
      </c>
    </row>
    <row r="45" spans="1:12" x14ac:dyDescent="0.3">
      <c r="A45" s="142" t="s">
        <v>230</v>
      </c>
      <c r="B45" s="213" t="s">
        <v>66</v>
      </c>
      <c r="C45" s="213" t="s">
        <v>66</v>
      </c>
      <c r="D45" s="212">
        <v>5400</v>
      </c>
      <c r="E45" s="212">
        <v>6750</v>
      </c>
      <c r="F45" s="212">
        <v>8340</v>
      </c>
      <c r="G45" s="212">
        <v>9590</v>
      </c>
      <c r="K45" s="210"/>
    </row>
    <row r="46" spans="1:12" x14ac:dyDescent="0.3">
      <c r="A46" s="257" t="s">
        <v>236</v>
      </c>
      <c r="B46" s="213" t="s">
        <v>66</v>
      </c>
      <c r="C46" s="213" t="s">
        <v>66</v>
      </c>
      <c r="D46" s="212">
        <v>2160</v>
      </c>
      <c r="E46" s="212">
        <v>2700</v>
      </c>
      <c r="F46" s="212">
        <v>3350</v>
      </c>
      <c r="G46" s="212">
        <v>3850</v>
      </c>
      <c r="K46" s="210"/>
    </row>
    <row r="47" spans="1:12" x14ac:dyDescent="0.3">
      <c r="A47" s="212" t="s">
        <v>134</v>
      </c>
      <c r="B47" s="213" t="s">
        <v>66</v>
      </c>
      <c r="C47" s="213" t="s">
        <v>66</v>
      </c>
      <c r="D47" s="212">
        <v>415</v>
      </c>
      <c r="E47" s="212">
        <v>415</v>
      </c>
      <c r="F47" s="212">
        <v>805</v>
      </c>
      <c r="G47" s="212">
        <v>805</v>
      </c>
    </row>
    <row r="48" spans="1:12" x14ac:dyDescent="0.3">
      <c r="A48" s="212" t="s">
        <v>135</v>
      </c>
      <c r="B48" s="213" t="s">
        <v>66</v>
      </c>
      <c r="C48" s="213" t="s">
        <v>66</v>
      </c>
      <c r="D48" s="212">
        <v>645</v>
      </c>
      <c r="E48" s="212">
        <v>645</v>
      </c>
      <c r="F48" s="212">
        <v>645</v>
      </c>
      <c r="G48" s="212">
        <v>645</v>
      </c>
    </row>
    <row r="49" spans="1:7" x14ac:dyDescent="0.3">
      <c r="A49" s="212" t="s">
        <v>136</v>
      </c>
      <c r="B49" s="213" t="s">
        <v>66</v>
      </c>
      <c r="C49" s="213" t="s">
        <v>66</v>
      </c>
      <c r="D49" s="212">
        <v>3980</v>
      </c>
      <c r="E49" s="212">
        <v>3980</v>
      </c>
      <c r="F49" s="212">
        <v>3980</v>
      </c>
      <c r="G49" s="212">
        <v>3980</v>
      </c>
    </row>
    <row r="50" spans="1:7" x14ac:dyDescent="0.3">
      <c r="A50" s="142" t="s">
        <v>179</v>
      </c>
      <c r="B50" s="214">
        <v>1250</v>
      </c>
      <c r="C50" s="214">
        <v>1390</v>
      </c>
      <c r="D50" s="212">
        <v>1250</v>
      </c>
      <c r="E50" s="212">
        <v>1390</v>
      </c>
      <c r="F50" s="212">
        <v>2650</v>
      </c>
      <c r="G50" s="212">
        <v>2780</v>
      </c>
    </row>
    <row r="51" spans="1:7" x14ac:dyDescent="0.3">
      <c r="A51" s="212" t="s">
        <v>137</v>
      </c>
      <c r="B51" s="213" t="s">
        <v>66</v>
      </c>
      <c r="C51" s="213" t="s">
        <v>66</v>
      </c>
      <c r="D51" s="212">
        <v>1470</v>
      </c>
      <c r="E51" s="212">
        <v>1590</v>
      </c>
      <c r="F51" s="212">
        <v>7060</v>
      </c>
      <c r="G51" s="212">
        <v>7420</v>
      </c>
    </row>
    <row r="52" spans="1:7" x14ac:dyDescent="0.3">
      <c r="A52" s="212" t="s">
        <v>138</v>
      </c>
      <c r="B52" s="213" t="s">
        <v>66</v>
      </c>
      <c r="C52" s="213" t="s">
        <v>66</v>
      </c>
      <c r="D52" s="212">
        <v>895</v>
      </c>
      <c r="E52" s="214">
        <v>985</v>
      </c>
      <c r="F52" s="214">
        <v>2650</v>
      </c>
      <c r="G52" s="214">
        <v>2780</v>
      </c>
    </row>
    <row r="53" spans="1:7" x14ac:dyDescent="0.3">
      <c r="A53" s="212" t="s">
        <v>224</v>
      </c>
      <c r="B53" s="213" t="s">
        <v>66</v>
      </c>
      <c r="C53" s="213" t="s">
        <v>66</v>
      </c>
      <c r="D53" s="212">
        <v>205</v>
      </c>
      <c r="E53" s="214">
        <v>205</v>
      </c>
      <c r="F53" s="214">
        <v>205</v>
      </c>
      <c r="G53" s="214">
        <v>205</v>
      </c>
    </row>
    <row r="54" spans="1:7" x14ac:dyDescent="0.3">
      <c r="B54" s="3"/>
      <c r="C54" s="3"/>
      <c r="D54" s="3"/>
      <c r="E54" s="3"/>
      <c r="F54" s="3"/>
      <c r="G54" s="3"/>
    </row>
    <row r="55" spans="1:7" x14ac:dyDescent="0.3">
      <c r="A55" s="225" t="s">
        <v>6</v>
      </c>
      <c r="B55" s="230" t="s">
        <v>193</v>
      </c>
    </row>
    <row r="56" spans="1:7" ht="15.6" x14ac:dyDescent="0.3">
      <c r="A56" t="s">
        <v>100</v>
      </c>
      <c r="B56" s="142">
        <v>3770</v>
      </c>
      <c r="E56" s="111"/>
      <c r="F56" s="111"/>
    </row>
    <row r="57" spans="1:7" ht="15.6" x14ac:dyDescent="0.3">
      <c r="A57" t="s">
        <v>50</v>
      </c>
      <c r="B57" s="142">
        <v>3770</v>
      </c>
      <c r="D57" s="111"/>
      <c r="E57" s="111"/>
      <c r="F57" s="111"/>
    </row>
    <row r="58" spans="1:7" ht="15.6" x14ac:dyDescent="0.3">
      <c r="A58" t="s">
        <v>101</v>
      </c>
      <c r="B58" s="142">
        <v>11400</v>
      </c>
      <c r="D58" s="111"/>
      <c r="E58" s="111"/>
      <c r="F58" s="111"/>
    </row>
    <row r="59" spans="1:7" ht="15.6" x14ac:dyDescent="0.3">
      <c r="A59" t="s">
        <v>102</v>
      </c>
      <c r="B59" s="142">
        <v>1060</v>
      </c>
      <c r="D59" s="111"/>
      <c r="E59" s="111"/>
      <c r="F59" s="111"/>
    </row>
    <row r="60" spans="1:7" ht="15.6" x14ac:dyDescent="0.3">
      <c r="A60" t="s">
        <v>51</v>
      </c>
      <c r="B60" s="142">
        <v>3020</v>
      </c>
      <c r="D60" s="111"/>
      <c r="E60" s="111"/>
      <c r="F60" s="111"/>
    </row>
    <row r="61" spans="1:7" ht="15.6" x14ac:dyDescent="0.3">
      <c r="A61" t="s">
        <v>103</v>
      </c>
      <c r="B61" s="142">
        <v>3020</v>
      </c>
      <c r="D61" s="111"/>
      <c r="E61" s="111"/>
      <c r="F61" s="111"/>
    </row>
    <row r="62" spans="1:7" ht="15.6" x14ac:dyDescent="0.3">
      <c r="A62" t="s">
        <v>52</v>
      </c>
      <c r="B62" s="142">
        <v>2270</v>
      </c>
      <c r="D62" s="111"/>
      <c r="E62" s="111"/>
      <c r="F62" s="111"/>
    </row>
    <row r="63" spans="1:7" ht="15.6" x14ac:dyDescent="0.3">
      <c r="A63" t="s">
        <v>201</v>
      </c>
      <c r="B63" s="142">
        <v>6520</v>
      </c>
      <c r="D63" s="111"/>
      <c r="E63" s="111"/>
      <c r="F63" s="111"/>
    </row>
    <row r="64" spans="1:7" ht="15.6" x14ac:dyDescent="0.3">
      <c r="A64" t="s">
        <v>180</v>
      </c>
      <c r="B64" s="142">
        <v>1360</v>
      </c>
      <c r="D64" s="111"/>
      <c r="E64" s="111"/>
      <c r="F64" s="111"/>
    </row>
    <row r="65" spans="1:6" ht="15.6" x14ac:dyDescent="0.3">
      <c r="A65" t="s">
        <v>228</v>
      </c>
      <c r="B65" s="142">
        <v>3640</v>
      </c>
      <c r="D65" s="111"/>
      <c r="E65" s="111"/>
      <c r="F65" s="111"/>
    </row>
    <row r="66" spans="1:6" ht="15.6" x14ac:dyDescent="0.3">
      <c r="A66" t="s">
        <v>87</v>
      </c>
      <c r="B66" s="142">
        <v>3770</v>
      </c>
      <c r="D66" s="111"/>
      <c r="E66" s="111"/>
      <c r="F66" s="111"/>
    </row>
    <row r="67" spans="1:6" ht="15.6" x14ac:dyDescent="0.3">
      <c r="A67" t="s">
        <v>45</v>
      </c>
      <c r="B67" s="142">
        <v>3020</v>
      </c>
      <c r="D67" s="111"/>
      <c r="E67" s="111"/>
      <c r="F67" s="111"/>
    </row>
    <row r="68" spans="1:6" ht="15.6" x14ac:dyDescent="0.3">
      <c r="A68" t="s">
        <v>46</v>
      </c>
      <c r="B68" s="142">
        <v>3330</v>
      </c>
      <c r="D68" s="111"/>
      <c r="E68" s="111"/>
      <c r="F68" s="111"/>
    </row>
    <row r="69" spans="1:6" ht="15.6" x14ac:dyDescent="0.3">
      <c r="A69" t="s">
        <v>47</v>
      </c>
      <c r="B69" s="142">
        <v>3770</v>
      </c>
      <c r="D69" s="111"/>
      <c r="E69" s="111"/>
      <c r="F69" s="111"/>
    </row>
    <row r="70" spans="1:6" ht="15.6" x14ac:dyDescent="0.3">
      <c r="A70" t="s">
        <v>48</v>
      </c>
      <c r="B70" s="142">
        <v>2270</v>
      </c>
      <c r="D70" s="111"/>
      <c r="E70" s="111"/>
      <c r="F70" s="111"/>
    </row>
    <row r="71" spans="1:6" ht="15.6" x14ac:dyDescent="0.3">
      <c r="A71" t="s">
        <v>49</v>
      </c>
      <c r="B71" s="142">
        <v>2270</v>
      </c>
      <c r="E71" s="111"/>
      <c r="F71" s="111"/>
    </row>
    <row r="72" spans="1:6" ht="15.6" x14ac:dyDescent="0.3">
      <c r="A72" t="s">
        <v>56</v>
      </c>
      <c r="B72" s="142">
        <v>1100</v>
      </c>
      <c r="E72" s="111"/>
      <c r="F72" s="111"/>
    </row>
    <row r="73" spans="1:6" ht="15.6" x14ac:dyDescent="0.3">
      <c r="A73" t="s">
        <v>104</v>
      </c>
      <c r="B73" s="142">
        <v>295</v>
      </c>
      <c r="E73" s="111"/>
      <c r="F73" s="111"/>
    </row>
    <row r="74" spans="1:6" ht="15.6" x14ac:dyDescent="0.3">
      <c r="A74" t="s">
        <v>55</v>
      </c>
      <c r="B74" s="142">
        <v>3020</v>
      </c>
      <c r="E74" s="111"/>
      <c r="F74" s="111"/>
    </row>
    <row r="75" spans="1:6" ht="15.6" x14ac:dyDescent="0.3">
      <c r="A75" t="s">
        <v>150</v>
      </c>
      <c r="B75" s="142">
        <v>3670</v>
      </c>
      <c r="E75" s="111"/>
      <c r="F75" s="111"/>
    </row>
    <row r="76" spans="1:6" ht="15.6" x14ac:dyDescent="0.3">
      <c r="A76" t="s">
        <v>97</v>
      </c>
      <c r="B76" s="142">
        <v>7570</v>
      </c>
      <c r="E76" s="111"/>
      <c r="F76" s="111"/>
    </row>
    <row r="77" spans="1:6" ht="15.6" x14ac:dyDescent="0.3">
      <c r="A77" t="s">
        <v>181</v>
      </c>
      <c r="B77" s="142">
        <v>2460</v>
      </c>
      <c r="E77" s="111"/>
      <c r="F77" s="111"/>
    </row>
    <row r="78" spans="1:6" ht="15.6" x14ac:dyDescent="0.3">
      <c r="A78" t="s">
        <v>53</v>
      </c>
      <c r="B78" s="142">
        <v>1360</v>
      </c>
      <c r="E78" s="111"/>
      <c r="F78" s="111"/>
    </row>
    <row r="79" spans="1:6" ht="15.6" x14ac:dyDescent="0.3">
      <c r="A79" t="s">
        <v>54</v>
      </c>
      <c r="B79" s="142">
        <v>1360</v>
      </c>
      <c r="E79" s="111"/>
      <c r="F79" s="111"/>
    </row>
    <row r="80" spans="1:6" ht="15.6" x14ac:dyDescent="0.3">
      <c r="A80" t="s">
        <v>70</v>
      </c>
      <c r="B80" s="142">
        <v>3020</v>
      </c>
      <c r="E80" s="111"/>
      <c r="F80" s="111"/>
    </row>
    <row r="81" spans="1:6" ht="15.6" x14ac:dyDescent="0.3">
      <c r="A81" t="s">
        <v>226</v>
      </c>
      <c r="B81" s="142">
        <v>2770</v>
      </c>
      <c r="E81" s="111"/>
      <c r="F81" s="111"/>
    </row>
    <row r="82" spans="1:6" ht="15.6" x14ac:dyDescent="0.3">
      <c r="A82" t="s">
        <v>227</v>
      </c>
      <c r="B82" s="142">
        <v>16430</v>
      </c>
      <c r="E82" s="111"/>
      <c r="F82" s="111"/>
    </row>
    <row r="83" spans="1:6" x14ac:dyDescent="0.3">
      <c r="B83" s="3"/>
    </row>
    <row r="84" spans="1:6" x14ac:dyDescent="0.3">
      <c r="A84" s="225" t="s">
        <v>35</v>
      </c>
      <c r="B84" s="230" t="s">
        <v>196</v>
      </c>
    </row>
    <row r="85" spans="1:6" ht="15.6" x14ac:dyDescent="0.3">
      <c r="A85" s="37" t="s">
        <v>22</v>
      </c>
      <c r="B85" s="142">
        <v>545</v>
      </c>
    </row>
    <row r="86" spans="1:6" ht="15.6" x14ac:dyDescent="0.3">
      <c r="A86" s="37" t="s">
        <v>23</v>
      </c>
      <c r="B86" s="142">
        <v>1100</v>
      </c>
    </row>
    <row r="88" spans="1:6" x14ac:dyDescent="0.3">
      <c r="A88" s="225" t="s">
        <v>58</v>
      </c>
      <c r="B88" s="230" t="s">
        <v>193</v>
      </c>
    </row>
    <row r="89" spans="1:6" x14ac:dyDescent="0.3">
      <c r="A89" t="s">
        <v>168</v>
      </c>
      <c r="B89" s="142">
        <v>4540</v>
      </c>
    </row>
    <row r="90" spans="1:6" x14ac:dyDescent="0.3">
      <c r="A90" t="s">
        <v>169</v>
      </c>
      <c r="B90" s="142">
        <v>7590</v>
      </c>
    </row>
    <row r="91" spans="1:6" x14ac:dyDescent="0.3">
      <c r="A91" t="s">
        <v>170</v>
      </c>
      <c r="B91" s="142">
        <v>13670</v>
      </c>
    </row>
    <row r="92" spans="1:6" x14ac:dyDescent="0.3">
      <c r="A92" t="s">
        <v>171</v>
      </c>
      <c r="B92" s="142">
        <v>22660</v>
      </c>
    </row>
    <row r="93" spans="1:6" x14ac:dyDescent="0.3">
      <c r="A93" t="s">
        <v>172</v>
      </c>
      <c r="B93" s="142">
        <v>30260</v>
      </c>
    </row>
    <row r="94" spans="1:6" x14ac:dyDescent="0.3">
      <c r="A94" t="s">
        <v>173</v>
      </c>
      <c r="B94" s="142">
        <v>37230</v>
      </c>
    </row>
    <row r="95" spans="1:6" x14ac:dyDescent="0.3">
      <c r="A95" t="s">
        <v>30</v>
      </c>
      <c r="B95" s="142">
        <v>305</v>
      </c>
    </row>
    <row r="96" spans="1:6" x14ac:dyDescent="0.3">
      <c r="A96" t="s">
        <v>98</v>
      </c>
      <c r="B96" s="142">
        <v>7520</v>
      </c>
    </row>
    <row r="98" spans="1:2" x14ac:dyDescent="0.3">
      <c r="A98" s="225" t="s">
        <v>71</v>
      </c>
      <c r="B98" s="230" t="s">
        <v>193</v>
      </c>
    </row>
    <row r="99" spans="1:2" x14ac:dyDescent="0.3">
      <c r="A99" t="s">
        <v>168</v>
      </c>
      <c r="B99" s="142">
        <v>3600</v>
      </c>
    </row>
    <row r="100" spans="1:2" x14ac:dyDescent="0.3">
      <c r="A100" t="s">
        <v>169</v>
      </c>
      <c r="B100" s="142">
        <v>7220</v>
      </c>
    </row>
    <row r="101" spans="1:2" x14ac:dyDescent="0.3">
      <c r="A101" t="s">
        <v>170</v>
      </c>
      <c r="B101" s="142">
        <v>10120</v>
      </c>
    </row>
    <row r="102" spans="1:2" x14ac:dyDescent="0.3">
      <c r="A102" t="s">
        <v>171</v>
      </c>
      <c r="B102" s="142">
        <v>13010</v>
      </c>
    </row>
    <row r="103" spans="1:2" x14ac:dyDescent="0.3">
      <c r="A103" t="s">
        <v>172</v>
      </c>
      <c r="B103" s="142">
        <v>15910</v>
      </c>
    </row>
    <row r="104" spans="1:2" x14ac:dyDescent="0.3">
      <c r="A104" t="s">
        <v>173</v>
      </c>
      <c r="B104" s="142">
        <v>20980</v>
      </c>
    </row>
    <row r="105" spans="1:2" x14ac:dyDescent="0.3">
      <c r="B105" s="3"/>
    </row>
    <row r="106" spans="1:2" x14ac:dyDescent="0.3">
      <c r="A106" s="225" t="s">
        <v>72</v>
      </c>
      <c r="B106" s="225" t="s">
        <v>193</v>
      </c>
    </row>
    <row r="107" spans="1:2" x14ac:dyDescent="0.3">
      <c r="A107" t="s">
        <v>168</v>
      </c>
      <c r="B107" s="142">
        <v>2270</v>
      </c>
    </row>
    <row r="108" spans="1:2" x14ac:dyDescent="0.3">
      <c r="A108" t="s">
        <v>169</v>
      </c>
      <c r="B108" s="142">
        <v>3330</v>
      </c>
    </row>
    <row r="109" spans="1:2" x14ac:dyDescent="0.3">
      <c r="A109" t="s">
        <v>170</v>
      </c>
      <c r="B109" s="142">
        <v>4540</v>
      </c>
    </row>
    <row r="110" spans="1:2" x14ac:dyDescent="0.3">
      <c r="A110" t="s">
        <v>171</v>
      </c>
      <c r="B110" s="142">
        <v>6070</v>
      </c>
    </row>
    <row r="111" spans="1:2" x14ac:dyDescent="0.3">
      <c r="A111" t="s">
        <v>172</v>
      </c>
      <c r="B111" s="142">
        <v>7590</v>
      </c>
    </row>
    <row r="112" spans="1:2" x14ac:dyDescent="0.3">
      <c r="A112" t="s">
        <v>173</v>
      </c>
      <c r="B112" s="142">
        <v>12140</v>
      </c>
    </row>
    <row r="114" spans="1:6" x14ac:dyDescent="0.3">
      <c r="A114" s="232" t="s">
        <v>73</v>
      </c>
      <c r="B114" s="232" t="s">
        <v>204</v>
      </c>
      <c r="C114" s="232" t="s">
        <v>205</v>
      </c>
      <c r="D114" s="238"/>
      <c r="E114" s="238"/>
    </row>
    <row r="115" spans="1:6" x14ac:dyDescent="0.3">
      <c r="A115" t="s">
        <v>174</v>
      </c>
      <c r="B115" s="142">
        <v>225</v>
      </c>
      <c r="C115" s="142">
        <v>495</v>
      </c>
      <c r="D115" s="142"/>
      <c r="E115" s="142"/>
      <c r="F115" s="142"/>
    </row>
    <row r="116" spans="1:6" x14ac:dyDescent="0.3">
      <c r="A116" t="s">
        <v>175</v>
      </c>
      <c r="B116" s="142">
        <v>685</v>
      </c>
      <c r="C116" s="142">
        <v>1530</v>
      </c>
      <c r="D116" s="142"/>
      <c r="E116" s="142"/>
      <c r="F116" s="142"/>
    </row>
    <row r="117" spans="1:6" x14ac:dyDescent="0.3">
      <c r="A117" t="s">
        <v>176</v>
      </c>
      <c r="B117" s="142">
        <v>1150</v>
      </c>
      <c r="C117" s="142">
        <v>2490</v>
      </c>
      <c r="D117" s="142"/>
      <c r="E117" s="142"/>
      <c r="F117" s="142"/>
    </row>
    <row r="118" spans="1:6" x14ac:dyDescent="0.3">
      <c r="A118" t="s">
        <v>202</v>
      </c>
      <c r="B118" s="142">
        <v>1530</v>
      </c>
      <c r="C118" s="142">
        <v>4220</v>
      </c>
      <c r="D118" s="142"/>
      <c r="E118" s="142"/>
      <c r="F118" s="142"/>
    </row>
    <row r="119" spans="1:6" x14ac:dyDescent="0.3">
      <c r="A119" t="s">
        <v>203</v>
      </c>
      <c r="B119" s="142">
        <v>2190</v>
      </c>
      <c r="C119" s="142">
        <v>8430</v>
      </c>
      <c r="D119" s="142"/>
      <c r="E119" s="142"/>
      <c r="F119" s="142"/>
    </row>
    <row r="120" spans="1:6" x14ac:dyDescent="0.3">
      <c r="A120" t="s">
        <v>197</v>
      </c>
      <c r="B120" s="142">
        <v>5.475E-2</v>
      </c>
      <c r="C120" s="142">
        <v>5.475E-2</v>
      </c>
      <c r="D120" s="142"/>
      <c r="E120" s="142"/>
      <c r="F120" s="142"/>
    </row>
    <row r="121" spans="1:6" x14ac:dyDescent="0.3">
      <c r="B121" s="142"/>
    </row>
    <row r="122" spans="1:6" x14ac:dyDescent="0.3">
      <c r="A122" s="225" t="s">
        <v>200</v>
      </c>
      <c r="B122" s="225" t="s">
        <v>193</v>
      </c>
    </row>
    <row r="123" spans="1:6" x14ac:dyDescent="0.3">
      <c r="A123" t="s">
        <v>168</v>
      </c>
      <c r="B123" s="142">
        <v>1290</v>
      </c>
    </row>
    <row r="124" spans="1:6" x14ac:dyDescent="0.3">
      <c r="A124" t="s">
        <v>169</v>
      </c>
      <c r="B124" s="142">
        <v>1900</v>
      </c>
    </row>
    <row r="125" spans="1:6" x14ac:dyDescent="0.3">
      <c r="A125" t="s">
        <v>170</v>
      </c>
      <c r="B125" s="142">
        <v>2580</v>
      </c>
    </row>
    <row r="126" spans="1:6" x14ac:dyDescent="0.3">
      <c r="A126" t="s">
        <v>171</v>
      </c>
      <c r="B126" s="142">
        <v>3440</v>
      </c>
    </row>
    <row r="127" spans="1:6" x14ac:dyDescent="0.3">
      <c r="A127" t="s">
        <v>172</v>
      </c>
      <c r="B127" s="142">
        <v>4300</v>
      </c>
    </row>
    <row r="128" spans="1:6" x14ac:dyDescent="0.3">
      <c r="A128" t="s">
        <v>173</v>
      </c>
      <c r="B128" s="142">
        <v>7300</v>
      </c>
    </row>
    <row r="129" spans="1:4" x14ac:dyDescent="0.3">
      <c r="B129" s="142"/>
    </row>
    <row r="130" spans="1:4" x14ac:dyDescent="0.3">
      <c r="A130" s="225" t="s">
        <v>225</v>
      </c>
      <c r="B130" s="225" t="s">
        <v>193</v>
      </c>
    </row>
    <row r="131" spans="1:4" x14ac:dyDescent="0.3">
      <c r="A131" t="s">
        <v>168</v>
      </c>
      <c r="B131" s="142">
        <v>2160</v>
      </c>
    </row>
    <row r="132" spans="1:4" x14ac:dyDescent="0.3">
      <c r="A132" t="s">
        <v>169</v>
      </c>
      <c r="B132" s="142">
        <v>3160</v>
      </c>
    </row>
    <row r="133" spans="1:4" x14ac:dyDescent="0.3">
      <c r="A133" t="s">
        <v>170</v>
      </c>
      <c r="B133" s="142">
        <v>4330</v>
      </c>
    </row>
    <row r="134" spans="1:4" x14ac:dyDescent="0.3">
      <c r="A134" t="s">
        <v>171</v>
      </c>
      <c r="B134" s="142">
        <v>5770</v>
      </c>
    </row>
    <row r="135" spans="1:4" x14ac:dyDescent="0.3">
      <c r="A135" t="s">
        <v>172</v>
      </c>
      <c r="B135" s="142">
        <v>7220</v>
      </c>
    </row>
    <row r="136" spans="1:4" x14ac:dyDescent="0.3">
      <c r="A136" t="s">
        <v>173</v>
      </c>
      <c r="B136" s="142">
        <v>11560</v>
      </c>
    </row>
    <row r="138" spans="1:4" x14ac:dyDescent="0.3">
      <c r="A138" s="225" t="s">
        <v>7</v>
      </c>
      <c r="B138" s="230" t="s">
        <v>148</v>
      </c>
      <c r="C138" s="230" t="s">
        <v>149</v>
      </c>
      <c r="D138" s="230" t="s">
        <v>152</v>
      </c>
    </row>
    <row r="139" spans="1:4" x14ac:dyDescent="0.3">
      <c r="A139" t="s">
        <v>8</v>
      </c>
      <c r="B139" s="142">
        <v>1640</v>
      </c>
      <c r="C139" s="142">
        <v>3040</v>
      </c>
      <c r="D139" s="142">
        <v>486.40000000000003</v>
      </c>
    </row>
    <row r="140" spans="1:4" x14ac:dyDescent="0.3">
      <c r="A140" t="s">
        <v>9</v>
      </c>
      <c r="B140" s="142">
        <v>6100</v>
      </c>
      <c r="C140" s="142">
        <v>11380</v>
      </c>
      <c r="D140" s="142">
        <v>1820.8</v>
      </c>
    </row>
    <row r="141" spans="1:4" x14ac:dyDescent="0.3">
      <c r="A141" t="s">
        <v>88</v>
      </c>
      <c r="B141" s="142">
        <v>10950</v>
      </c>
      <c r="C141" s="142">
        <v>20820</v>
      </c>
      <c r="D141" s="142">
        <v>3331.2000000000003</v>
      </c>
    </row>
    <row r="142" spans="1:4" x14ac:dyDescent="0.3">
      <c r="A142" t="s">
        <v>10</v>
      </c>
      <c r="B142" s="142">
        <v>4620</v>
      </c>
      <c r="C142" s="142">
        <v>9455</v>
      </c>
      <c r="D142" s="142">
        <v>1512.8</v>
      </c>
    </row>
    <row r="143" spans="1:4" x14ac:dyDescent="0.3">
      <c r="A143" t="s">
        <v>199</v>
      </c>
      <c r="B143" s="142">
        <v>5990</v>
      </c>
      <c r="C143" s="142">
        <v>12325</v>
      </c>
      <c r="D143" s="142">
        <v>1972</v>
      </c>
    </row>
    <row r="144" spans="1:4" x14ac:dyDescent="0.3">
      <c r="D144" t="s">
        <v>29</v>
      </c>
    </row>
    <row r="145" spans="1:5" x14ac:dyDescent="0.3">
      <c r="A145" s="230" t="s">
        <v>89</v>
      </c>
      <c r="B145" s="230" t="s">
        <v>3</v>
      </c>
      <c r="C145" s="230" t="s">
        <v>5</v>
      </c>
      <c r="D145" s="230" t="s">
        <v>183</v>
      </c>
      <c r="E145" s="230" t="s">
        <v>184</v>
      </c>
    </row>
    <row r="146" spans="1:5" x14ac:dyDescent="0.3">
      <c r="A146">
        <v>1</v>
      </c>
      <c r="B146" s="142">
        <v>4300</v>
      </c>
      <c r="C146" s="142">
        <v>5610</v>
      </c>
      <c r="D146" s="142">
        <v>5610</v>
      </c>
      <c r="E146" s="142">
        <v>6910</v>
      </c>
    </row>
    <row r="147" spans="1:5" x14ac:dyDescent="0.3">
      <c r="A147">
        <v>6</v>
      </c>
      <c r="B147" s="142">
        <v>6910</v>
      </c>
      <c r="C147" s="142">
        <v>8220</v>
      </c>
      <c r="D147" s="142">
        <v>8220</v>
      </c>
      <c r="E147" s="142">
        <v>9520</v>
      </c>
    </row>
    <row r="148" spans="1:5" x14ac:dyDescent="0.3">
      <c r="A148">
        <v>11</v>
      </c>
      <c r="B148" s="142">
        <v>12130</v>
      </c>
      <c r="C148" s="142">
        <v>14740</v>
      </c>
      <c r="D148" s="142">
        <v>14740</v>
      </c>
      <c r="E148" s="142">
        <v>17340</v>
      </c>
    </row>
    <row r="149" spans="1:5" x14ac:dyDescent="0.3">
      <c r="A149">
        <v>21</v>
      </c>
      <c r="B149" s="142">
        <v>19950</v>
      </c>
      <c r="C149" s="142">
        <v>23870</v>
      </c>
      <c r="D149" s="142">
        <v>23870</v>
      </c>
      <c r="E149" s="142">
        <v>27780</v>
      </c>
    </row>
    <row r="150" spans="1:5" x14ac:dyDescent="0.3">
      <c r="A150">
        <v>31</v>
      </c>
      <c r="B150" s="142">
        <v>26470</v>
      </c>
      <c r="C150" s="142">
        <v>31690</v>
      </c>
      <c r="D150" s="142">
        <v>31690</v>
      </c>
      <c r="E150" s="142">
        <v>38210</v>
      </c>
    </row>
    <row r="151" spans="1:5" x14ac:dyDescent="0.3">
      <c r="A151" s="215">
        <v>41</v>
      </c>
      <c r="B151" s="142">
        <v>31690</v>
      </c>
      <c r="C151" s="142">
        <v>38210</v>
      </c>
      <c r="D151" s="142">
        <v>38210</v>
      </c>
      <c r="E151" s="142">
        <v>46040</v>
      </c>
    </row>
    <row r="153" spans="1:5" x14ac:dyDescent="0.3">
      <c r="A153" s="225" t="s">
        <v>91</v>
      </c>
      <c r="B153" s="231" t="s">
        <v>148</v>
      </c>
      <c r="C153" s="231" t="s">
        <v>149</v>
      </c>
      <c r="D153" s="231" t="s">
        <v>152</v>
      </c>
    </row>
    <row r="154" spans="1:5" x14ac:dyDescent="0.3">
      <c r="A154" t="s">
        <v>92</v>
      </c>
      <c r="B154" s="142">
        <v>795</v>
      </c>
      <c r="C154" s="142">
        <v>1190</v>
      </c>
      <c r="D154" s="142">
        <v>190.4</v>
      </c>
    </row>
    <row r="155" spans="1:5" x14ac:dyDescent="0.3">
      <c r="A155" t="s">
        <v>198</v>
      </c>
      <c r="B155" s="142">
        <v>1890</v>
      </c>
      <c r="C155" s="142">
        <v>3305</v>
      </c>
      <c r="D155" s="142">
        <v>528.79999999999995</v>
      </c>
    </row>
    <row r="156" spans="1:5" x14ac:dyDescent="0.3">
      <c r="A156" t="s">
        <v>93</v>
      </c>
      <c r="B156" s="142">
        <v>3090</v>
      </c>
      <c r="C156" s="142">
        <v>5720</v>
      </c>
      <c r="D156" s="142">
        <v>915.2</v>
      </c>
    </row>
    <row r="157" spans="1:5" x14ac:dyDescent="0.3">
      <c r="A157" t="s">
        <v>94</v>
      </c>
      <c r="B157" s="142">
        <v>4950</v>
      </c>
      <c r="C157" s="142">
        <v>11500</v>
      </c>
      <c r="D157" s="142">
        <v>1840</v>
      </c>
    </row>
    <row r="158" spans="1:5" x14ac:dyDescent="0.3">
      <c r="A158" t="s">
        <v>95</v>
      </c>
      <c r="B158" s="142">
        <v>7190</v>
      </c>
      <c r="C158" s="142">
        <v>18455</v>
      </c>
      <c r="D158" s="142">
        <v>2952.8</v>
      </c>
    </row>
    <row r="159" spans="1:5" x14ac:dyDescent="0.3">
      <c r="B159" s="3"/>
    </row>
    <row r="161" spans="1:3" x14ac:dyDescent="0.3">
      <c r="A161" s="248" t="s">
        <v>139</v>
      </c>
      <c r="B161" s="248" t="s">
        <v>209</v>
      </c>
      <c r="C161" s="3"/>
    </row>
    <row r="162" spans="1:3" x14ac:dyDescent="0.3">
      <c r="A162" t="s">
        <v>143</v>
      </c>
      <c r="B162" s="3">
        <v>934</v>
      </c>
      <c r="C162" s="3"/>
    </row>
    <row r="163" spans="1:3" x14ac:dyDescent="0.3">
      <c r="A163" t="s">
        <v>210</v>
      </c>
      <c r="B163" s="3">
        <v>934</v>
      </c>
    </row>
    <row r="164" spans="1:3" x14ac:dyDescent="0.3">
      <c r="A164" t="s">
        <v>211</v>
      </c>
      <c r="B164" s="3">
        <v>934</v>
      </c>
    </row>
    <row r="165" spans="1:3" x14ac:dyDescent="0.3">
      <c r="A165" t="s">
        <v>144</v>
      </c>
      <c r="B165" s="3">
        <v>934</v>
      </c>
    </row>
    <row r="166" spans="1:3" x14ac:dyDescent="0.3">
      <c r="A166" t="s">
        <v>212</v>
      </c>
      <c r="B166" s="3">
        <v>1354</v>
      </c>
    </row>
    <row r="167" spans="1:3" x14ac:dyDescent="0.3">
      <c r="A167" t="s">
        <v>213</v>
      </c>
      <c r="B167" s="3">
        <v>1354</v>
      </c>
    </row>
    <row r="168" spans="1:3" x14ac:dyDescent="0.3">
      <c r="A168" t="s">
        <v>214</v>
      </c>
      <c r="B168" s="3">
        <v>1354</v>
      </c>
    </row>
    <row r="169" spans="1:3" x14ac:dyDescent="0.3">
      <c r="A169" t="s">
        <v>145</v>
      </c>
      <c r="B169" s="3">
        <v>1354</v>
      </c>
    </row>
    <row r="170" spans="1:3" x14ac:dyDescent="0.3">
      <c r="A170" t="s">
        <v>215</v>
      </c>
      <c r="B170" s="3">
        <v>2299</v>
      </c>
    </row>
    <row r="171" spans="1:3" x14ac:dyDescent="0.3">
      <c r="A171" t="s">
        <v>216</v>
      </c>
      <c r="B171" s="3">
        <v>2299</v>
      </c>
    </row>
    <row r="172" spans="1:3" x14ac:dyDescent="0.3">
      <c r="A172" t="s">
        <v>217</v>
      </c>
      <c r="B172" s="3">
        <v>2299</v>
      </c>
    </row>
    <row r="173" spans="1:3" x14ac:dyDescent="0.3">
      <c r="A173" t="s">
        <v>146</v>
      </c>
      <c r="B173" s="3">
        <v>2299</v>
      </c>
    </row>
    <row r="174" spans="1:3" x14ac:dyDescent="0.3">
      <c r="A174" t="s">
        <v>147</v>
      </c>
      <c r="B174" t="s">
        <v>141</v>
      </c>
    </row>
  </sheetData>
  <dataValidations count="1">
    <dataValidation allowBlank="1" showInputMessage="1" showErrorMessage="1" errorTitle="Brak możliwości edycji" sqref="D49:G51 D37:E37 B38:C38 B41:C41 B44:C53 B6:C32 D6:I28" xr:uid="{00000000-0002-0000-0400-000000000000}"/>
  </dataValidations>
  <pageMargins left="0.7" right="0.7" top="0.75" bottom="0.75" header="0.3" footer="0.3"/>
  <pageSetup paperSize="9" scale="63" orientation="landscape"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enova365 - Instalacja 1-bazowa</vt:lpstr>
      <vt:lpstr>enova365 - Biuro Rachunkowe</vt:lpstr>
      <vt:lpstr>enova365 - BRdGr pow.10</vt:lpstr>
      <vt:lpstr>enova365 - Wielofirmowa</vt:lpstr>
      <vt:lpstr>Cennik enova365</vt:lpstr>
      <vt:lpstr>enova365_Praca_Hybrydowa_w_Pulpitach</vt:lpstr>
      <vt:lpstr>'enova365 - Instalacja 1-bazowa'!Obszar_wydruku</vt:lpstr>
      <vt:lpstr>pakiety_BR_AKT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Koziol;sabina.dziubinska@enova.pl</dc:creator>
  <cp:lastModifiedBy>Paulina Dzik</cp:lastModifiedBy>
  <cp:lastPrinted>2014-11-18T08:32:43Z</cp:lastPrinted>
  <dcterms:created xsi:type="dcterms:W3CDTF">2012-10-16T06:15:01Z</dcterms:created>
  <dcterms:modified xsi:type="dcterms:W3CDTF">2023-12-11T14:16:56Z</dcterms:modified>
</cp:coreProperties>
</file>