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ttps://msdnenova-my.sharepoint.com/personal/paulina_dzik_soneta_pl/Documents/Desktop/Kalkulatory od 1.01.2024/Serwerowy/"/>
    </mc:Choice>
  </mc:AlternateContent>
  <xr:revisionPtr revIDLastSave="127" documentId="8_{0C32B307-6822-46E0-ABAF-D4347BB0D27B}" xr6:coauthVersionLast="47" xr6:coauthVersionMax="47" xr10:uidLastSave="{7E1957EA-73C9-4BAC-A3B6-E963ADD85F6D}"/>
  <bookViews>
    <workbookView xWindow="-108" yWindow="-108" windowWidth="23256" windowHeight="12456" tabRatio="774" activeTab="2" xr2:uid="{00000000-000D-0000-FFFF-FFFF00000000}"/>
  </bookViews>
  <sheets>
    <sheet name="enova365 - Jednofirmowa" sheetId="15" r:id="rId1"/>
    <sheet name="enova365 - Wielofirmowa" sheetId="12" r:id="rId2"/>
    <sheet name="Cennik enova365" sheetId="9" r:id="rId3"/>
  </sheets>
  <definedNames>
    <definedName name="_xlnm._FilterDatabase" localSheetId="0" hidden="1">'enova365 - Jednofirmowa'!$H$1:$H$86</definedName>
    <definedName name="_xlnm._FilterDatabase" localSheetId="1" hidden="1">'enova365 - Wielofirmowa'!$H$1:$H$93</definedName>
    <definedName name="pakiety_BR_AK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5" l="1"/>
  <c r="C19" i="15"/>
  <c r="G19" i="15" s="1"/>
  <c r="H19" i="15" s="1"/>
  <c r="D19" i="12"/>
  <c r="C19" i="12"/>
  <c r="G19" i="12" s="1"/>
  <c r="H19" i="12" s="1"/>
  <c r="J22" i="15"/>
  <c r="J17" i="15"/>
  <c r="J22" i="12"/>
  <c r="J79" i="15" l="1"/>
  <c r="J86" i="12" l="1"/>
  <c r="D18" i="15" l="1"/>
  <c r="C18" i="15"/>
  <c r="G18" i="15" s="1"/>
  <c r="H18" i="15" s="1"/>
  <c r="D18" i="12"/>
  <c r="C18" i="12"/>
  <c r="G18" i="12" s="1"/>
  <c r="H18" i="12" s="1"/>
  <c r="H44" i="15" l="1"/>
  <c r="D44" i="15"/>
  <c r="H44" i="12"/>
  <c r="D44" i="12"/>
  <c r="J61" i="15" l="1"/>
  <c r="G61" i="15"/>
  <c r="G62" i="15" s="1"/>
  <c r="H61" i="15"/>
  <c r="D61" i="15"/>
  <c r="G61" i="12"/>
  <c r="J61" i="12" l="1"/>
  <c r="G62" i="12"/>
  <c r="H61" i="12"/>
  <c r="D61" i="12"/>
  <c r="H60" i="15" l="1"/>
  <c r="D60" i="15"/>
  <c r="H60" i="12"/>
  <c r="D60" i="12"/>
  <c r="J12" i="15"/>
  <c r="J12" i="12" l="1"/>
  <c r="D27" i="15" l="1"/>
  <c r="C27" i="15"/>
  <c r="G27" i="15" s="1"/>
  <c r="H27" i="15" s="1"/>
  <c r="D27" i="12"/>
  <c r="C27" i="12"/>
  <c r="G27" i="12" s="1"/>
  <c r="H27" i="12" l="1"/>
  <c r="J30" i="15"/>
  <c r="J30" i="12"/>
  <c r="D26" i="15"/>
  <c r="G26" i="15" s="1"/>
  <c r="J26" i="15" s="1"/>
  <c r="C26" i="15"/>
  <c r="H26" i="15" l="1"/>
  <c r="D26" i="12" l="1"/>
  <c r="G26" i="12" s="1"/>
  <c r="J26" i="12" s="1"/>
  <c r="C26" i="12"/>
  <c r="H26" i="12" l="1"/>
  <c r="C79" i="15" l="1"/>
  <c r="G79" i="15" s="1"/>
  <c r="G80" i="15" s="1"/>
  <c r="C86" i="12"/>
  <c r="G86" i="12"/>
  <c r="J17" i="12" l="1"/>
  <c r="G70" i="12" l="1"/>
  <c r="G71" i="12"/>
  <c r="G72" i="12"/>
  <c r="G73" i="12"/>
  <c r="G69" i="12"/>
  <c r="G67" i="12"/>
  <c r="G70" i="15"/>
  <c r="G72" i="15"/>
  <c r="G73" i="15"/>
  <c r="G69" i="15"/>
  <c r="G67" i="15"/>
  <c r="H72" i="15" l="1"/>
  <c r="C72" i="15"/>
  <c r="H72" i="12"/>
  <c r="C72" i="12"/>
  <c r="D25" i="15" l="1"/>
  <c r="C25" i="15"/>
  <c r="G25" i="15" s="1"/>
  <c r="D25" i="12"/>
  <c r="C25" i="12"/>
  <c r="G25" i="12" l="1"/>
  <c r="H25" i="12" s="1"/>
  <c r="H25" i="15"/>
  <c r="H42" i="12"/>
  <c r="D42" i="12"/>
  <c r="H42" i="15"/>
  <c r="D42" i="15"/>
  <c r="C71" i="15" l="1"/>
  <c r="G71" i="15" s="1"/>
  <c r="H71" i="15" s="1"/>
  <c r="H71" i="12"/>
  <c r="C71" i="12"/>
  <c r="D30" i="15" l="1"/>
  <c r="C30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20" i="15"/>
  <c r="D21" i="15"/>
  <c r="D22" i="15"/>
  <c r="D23" i="15"/>
  <c r="D24" i="15"/>
  <c r="D3" i="15"/>
  <c r="C4" i="15"/>
  <c r="G4" i="15" s="1"/>
  <c r="C5" i="15"/>
  <c r="G5" i="15" s="1"/>
  <c r="H5" i="15" s="1"/>
  <c r="C6" i="15"/>
  <c r="G6" i="15" s="1"/>
  <c r="H6" i="15" s="1"/>
  <c r="C7" i="15"/>
  <c r="G7" i="15" s="1"/>
  <c r="H7" i="15" s="1"/>
  <c r="C8" i="15"/>
  <c r="G8" i="15" s="1"/>
  <c r="H8" i="15" s="1"/>
  <c r="C9" i="15"/>
  <c r="C10" i="15"/>
  <c r="G10" i="15" s="1"/>
  <c r="C11" i="15"/>
  <c r="G11" i="15" s="1"/>
  <c r="H11" i="15" s="1"/>
  <c r="C12" i="15"/>
  <c r="G12" i="15" s="1"/>
  <c r="H12" i="15" s="1"/>
  <c r="C13" i="15"/>
  <c r="G13" i="15" s="1"/>
  <c r="H13" i="15" s="1"/>
  <c r="C14" i="15"/>
  <c r="G14" i="15" s="1"/>
  <c r="H14" i="15" s="1"/>
  <c r="C15" i="15"/>
  <c r="G15" i="15" s="1"/>
  <c r="H15" i="15" s="1"/>
  <c r="C16" i="15"/>
  <c r="G16" i="15" s="1"/>
  <c r="H16" i="15" s="1"/>
  <c r="C17" i="15"/>
  <c r="G17" i="15" s="1"/>
  <c r="H17" i="15" s="1"/>
  <c r="C20" i="15"/>
  <c r="G20" i="15" s="1"/>
  <c r="H20" i="15" s="1"/>
  <c r="C21" i="15"/>
  <c r="G21" i="15" s="1"/>
  <c r="H21" i="15" s="1"/>
  <c r="C22" i="15"/>
  <c r="G22" i="15" s="1"/>
  <c r="H22" i="15" s="1"/>
  <c r="C23" i="15"/>
  <c r="G23" i="15" s="1"/>
  <c r="H23" i="15" s="1"/>
  <c r="C24" i="15"/>
  <c r="G24" i="15" s="1"/>
  <c r="H24" i="15" s="1"/>
  <c r="C3" i="15"/>
  <c r="G3" i="15" s="1"/>
  <c r="H79" i="15"/>
  <c r="H78" i="15"/>
  <c r="G76" i="15"/>
  <c r="H76" i="15" s="1"/>
  <c r="H73" i="15"/>
  <c r="C73" i="15"/>
  <c r="H70" i="15"/>
  <c r="C70" i="15"/>
  <c r="H69" i="15"/>
  <c r="C69" i="15"/>
  <c r="G68" i="15"/>
  <c r="H68" i="15" s="1"/>
  <c r="C68" i="15"/>
  <c r="H67" i="15"/>
  <c r="C67" i="15"/>
  <c r="G65" i="15"/>
  <c r="H64" i="15"/>
  <c r="H65" i="15" s="1"/>
  <c r="H59" i="15"/>
  <c r="D59" i="15"/>
  <c r="H58" i="15"/>
  <c r="D58" i="15"/>
  <c r="H57" i="15"/>
  <c r="D57" i="15"/>
  <c r="H56" i="15"/>
  <c r="D56" i="15"/>
  <c r="H55" i="15"/>
  <c r="D55" i="15"/>
  <c r="H54" i="15"/>
  <c r="D54" i="15"/>
  <c r="H53" i="15"/>
  <c r="D53" i="15"/>
  <c r="H52" i="15"/>
  <c r="D52" i="15"/>
  <c r="H51" i="15"/>
  <c r="D51" i="15"/>
  <c r="H50" i="15"/>
  <c r="D50" i="15"/>
  <c r="H49" i="15"/>
  <c r="D49" i="15"/>
  <c r="H48" i="15"/>
  <c r="D48" i="15"/>
  <c r="H47" i="15"/>
  <c r="D47" i="15"/>
  <c r="H46" i="15"/>
  <c r="D46" i="15"/>
  <c r="H45" i="15"/>
  <c r="D45" i="15"/>
  <c r="H43" i="15"/>
  <c r="D43" i="15"/>
  <c r="H41" i="15"/>
  <c r="D41" i="15"/>
  <c r="H40" i="15"/>
  <c r="D40" i="15"/>
  <c r="H39" i="15"/>
  <c r="D39" i="15"/>
  <c r="H38" i="15"/>
  <c r="D38" i="15"/>
  <c r="H37" i="15"/>
  <c r="D37" i="15"/>
  <c r="H36" i="15"/>
  <c r="D36" i="15"/>
  <c r="H35" i="15"/>
  <c r="D35" i="15"/>
  <c r="G32" i="15"/>
  <c r="G33" i="15" s="1"/>
  <c r="H33" i="15" s="1"/>
  <c r="H31" i="15" s="1"/>
  <c r="D32" i="15"/>
  <c r="D30" i="12"/>
  <c r="C30" i="12"/>
  <c r="D32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20" i="12"/>
  <c r="D21" i="12"/>
  <c r="D22" i="12"/>
  <c r="D23" i="12"/>
  <c r="D24" i="12"/>
  <c r="D3" i="12"/>
  <c r="C4" i="12"/>
  <c r="C5" i="12"/>
  <c r="C6" i="12"/>
  <c r="C7" i="12"/>
  <c r="C8" i="12"/>
  <c r="C9" i="12"/>
  <c r="G9" i="12" s="1"/>
  <c r="C10" i="12"/>
  <c r="G10" i="12" s="1"/>
  <c r="C11" i="12"/>
  <c r="C12" i="12"/>
  <c r="C13" i="12"/>
  <c r="C14" i="12"/>
  <c r="C15" i="12"/>
  <c r="C16" i="12"/>
  <c r="C17" i="12"/>
  <c r="C20" i="12"/>
  <c r="C21" i="12"/>
  <c r="C22" i="12"/>
  <c r="C23" i="12"/>
  <c r="G23" i="12" s="1"/>
  <c r="C24" i="12"/>
  <c r="C3" i="12"/>
  <c r="H9" i="12" l="1"/>
  <c r="J9" i="12"/>
  <c r="G30" i="15"/>
  <c r="H30" i="15" s="1"/>
  <c r="G30" i="12"/>
  <c r="H30" i="12" s="1"/>
  <c r="H4" i="15"/>
  <c r="G9" i="15"/>
  <c r="G74" i="15"/>
  <c r="H32" i="15"/>
  <c r="H63" i="15"/>
  <c r="G77" i="15"/>
  <c r="H77" i="15" s="1"/>
  <c r="H62" i="15"/>
  <c r="H34" i="15" s="1"/>
  <c r="H10" i="15"/>
  <c r="H80" i="15"/>
  <c r="H3" i="15"/>
  <c r="G32" i="12"/>
  <c r="H9" i="15" l="1"/>
  <c r="G28" i="15"/>
  <c r="G75" i="15" s="1"/>
  <c r="G83" i="15" s="1"/>
  <c r="J9" i="15"/>
  <c r="H74" i="15"/>
  <c r="H66" i="15"/>
  <c r="H56" i="12"/>
  <c r="D56" i="12"/>
  <c r="H2" i="15" l="1"/>
  <c r="H28" i="15"/>
  <c r="H43" i="12"/>
  <c r="D43" i="12"/>
  <c r="H83" i="15" l="1"/>
  <c r="H75" i="15"/>
  <c r="C67" i="12"/>
  <c r="G81" i="15" l="1"/>
  <c r="G82" i="15" s="1"/>
  <c r="H82" i="15" s="1"/>
  <c r="C70" i="12"/>
  <c r="C69" i="12"/>
  <c r="H81" i="15" l="1"/>
  <c r="G68" i="12"/>
  <c r="H54" i="12" l="1"/>
  <c r="H55" i="12"/>
  <c r="H57" i="12"/>
  <c r="H85" i="12"/>
  <c r="D54" i="12" l="1"/>
  <c r="G87" i="12" l="1"/>
  <c r="H87" i="12" s="1"/>
  <c r="H86" i="12"/>
  <c r="H73" i="12" l="1"/>
  <c r="C73" i="12"/>
  <c r="G4" i="12"/>
  <c r="G5" i="12"/>
  <c r="G6" i="12"/>
  <c r="G7" i="12"/>
  <c r="H7" i="12" s="1"/>
  <c r="G8" i="12"/>
  <c r="G11" i="12"/>
  <c r="G12" i="12"/>
  <c r="G13" i="12"/>
  <c r="G14" i="12"/>
  <c r="G15" i="12"/>
  <c r="G16" i="12"/>
  <c r="G17" i="12"/>
  <c r="G20" i="12"/>
  <c r="G21" i="12"/>
  <c r="G22" i="12"/>
  <c r="G24" i="12"/>
  <c r="H8" i="12" l="1"/>
  <c r="D36" i="12"/>
  <c r="D37" i="12"/>
  <c r="D38" i="12"/>
  <c r="D39" i="12"/>
  <c r="D40" i="12"/>
  <c r="D41" i="12"/>
  <c r="D45" i="12"/>
  <c r="D46" i="12"/>
  <c r="D47" i="12"/>
  <c r="D48" i="12"/>
  <c r="D49" i="12"/>
  <c r="D50" i="12"/>
  <c r="D51" i="12"/>
  <c r="D52" i="12"/>
  <c r="D53" i="12"/>
  <c r="D55" i="12"/>
  <c r="D57" i="12"/>
  <c r="D58" i="12"/>
  <c r="D59" i="12"/>
  <c r="D35" i="12"/>
  <c r="H58" i="12"/>
  <c r="H59" i="12"/>
  <c r="H32" i="12" l="1"/>
  <c r="G33" i="12" l="1"/>
  <c r="H33" i="12" l="1"/>
  <c r="H31" i="12" s="1"/>
  <c r="H21" i="12" l="1"/>
  <c r="H20" i="12" l="1"/>
  <c r="H81" i="12" l="1"/>
  <c r="H35" i="12" l="1"/>
  <c r="G3" i="12"/>
  <c r="G28" i="12" s="1"/>
  <c r="H64" i="12" l="1"/>
  <c r="H36" i="12"/>
  <c r="H37" i="12"/>
  <c r="H38" i="12"/>
  <c r="H39" i="12"/>
  <c r="H40" i="12"/>
  <c r="H41" i="12"/>
  <c r="H45" i="12"/>
  <c r="H46" i="12"/>
  <c r="H47" i="12"/>
  <c r="H48" i="12"/>
  <c r="H49" i="12"/>
  <c r="H50" i="12"/>
  <c r="H51" i="12"/>
  <c r="H52" i="12"/>
  <c r="H53" i="12"/>
  <c r="H62" i="12" l="1"/>
  <c r="H34" i="12" s="1"/>
  <c r="H65" i="12"/>
  <c r="H63" i="12"/>
  <c r="G74" i="12" l="1"/>
  <c r="G76" i="12" s="1"/>
  <c r="G78" i="12" s="1"/>
  <c r="H70" i="12" l="1"/>
  <c r="H69" i="12"/>
  <c r="C68" i="12" l="1"/>
  <c r="H68" i="12" s="1"/>
  <c r="H4" i="12"/>
  <c r="H5" i="12"/>
  <c r="H6" i="12"/>
  <c r="H10" i="12"/>
  <c r="H11" i="12"/>
  <c r="H12" i="12"/>
  <c r="H13" i="12"/>
  <c r="H14" i="12"/>
  <c r="H15" i="12"/>
  <c r="H16" i="12"/>
  <c r="H17" i="12"/>
  <c r="H22" i="12"/>
  <c r="H23" i="12"/>
  <c r="H24" i="12"/>
  <c r="H3" i="12"/>
  <c r="G65" i="12"/>
  <c r="H67" i="12" l="1"/>
  <c r="G79" i="12"/>
  <c r="G80" i="12" s="1"/>
  <c r="H80" i="12" l="1"/>
  <c r="H28" i="12"/>
  <c r="H2" i="12"/>
  <c r="H74" i="12"/>
  <c r="H66" i="12"/>
  <c r="G82" i="12" l="1"/>
  <c r="G90" i="12" s="1"/>
  <c r="H78" i="12"/>
  <c r="H75" i="12"/>
  <c r="H76" i="12"/>
  <c r="H90" i="12" l="1"/>
  <c r="H77" i="12"/>
  <c r="H79" i="12" l="1"/>
  <c r="G83" i="12" l="1"/>
  <c r="H83" i="12" s="1"/>
  <c r="H82" i="12"/>
  <c r="G84" i="12" l="1"/>
  <c r="G88" i="12" l="1"/>
  <c r="H88" i="12" s="1"/>
  <c r="H84" i="12"/>
  <c r="G89" i="12" l="1"/>
  <c r="H89" i="12" s="1"/>
</calcChain>
</file>

<file path=xl/sharedStrings.xml><?xml version="1.0" encoding="utf-8"?>
<sst xmlns="http://schemas.openxmlformats.org/spreadsheetml/2006/main" count="526" uniqueCount="177">
  <si>
    <t>Wersja</t>
  </si>
  <si>
    <t>srebro</t>
  </si>
  <si>
    <t>TAK</t>
  </si>
  <si>
    <t>złoto</t>
  </si>
  <si>
    <t>NIE</t>
  </si>
  <si>
    <t>platyna</t>
  </si>
  <si>
    <t>Moduły  dodatkowe</t>
  </si>
  <si>
    <t>Moduł</t>
  </si>
  <si>
    <t>Rodzaj</t>
  </si>
  <si>
    <t>Wartość [netto]</t>
  </si>
  <si>
    <t>SUMA MODUŁY ZEWNĘTRZNE</t>
  </si>
  <si>
    <t xml:space="preserve">Promocje </t>
  </si>
  <si>
    <t>Wartość  upustu dla Klienta netto</t>
  </si>
  <si>
    <t>Wartość  dla Klienta netto</t>
  </si>
  <si>
    <t>Wartość  dla Klienta brutto (z VAT 23%)</t>
  </si>
  <si>
    <t xml:space="preserve">1...5 tabela </t>
  </si>
  <si>
    <t>6...15 tabela</t>
  </si>
  <si>
    <t>ilość</t>
  </si>
  <si>
    <t>Kliknij w filtr</t>
  </si>
  <si>
    <t>SUMA MODUŁY Wielofirmowe</t>
  </si>
  <si>
    <t xml:space="preserve"> </t>
  </si>
  <si>
    <t>enova365 Pulpit Kierownika</t>
  </si>
  <si>
    <t xml:space="preserve">SUMA enova365 Pulpit </t>
  </si>
  <si>
    <t>Ilość/zakres</t>
  </si>
  <si>
    <t>Ilość/Zakres</t>
  </si>
  <si>
    <t>TABELE DODATKOWE - ZŁOTO do maks. 15 tabel</t>
  </si>
  <si>
    <t>enova365 Pulpity</t>
  </si>
  <si>
    <t>0,00*</t>
  </si>
  <si>
    <t>Ilość</t>
  </si>
  <si>
    <t>SUMA MODUŁY Dodatkowe</t>
  </si>
  <si>
    <t>platyna wielofirmowa</t>
  </si>
  <si>
    <t>standard</t>
  </si>
  <si>
    <t>multi</t>
  </si>
  <si>
    <t>enova365 Jednostki Budżetowe</t>
  </si>
  <si>
    <t>enova365 Elektroniczne Wyciągi Bankowe</t>
  </si>
  <si>
    <t>enova365 Wirtualne Rachunki Bankowe</t>
  </si>
  <si>
    <t>enova365 Importy Księgowe</t>
  </si>
  <si>
    <t>enova365 Eksporty Księgowe</t>
  </si>
  <si>
    <t>enova365 Pracownicy Uczelni</t>
  </si>
  <si>
    <t>enova365 Pracownicy Koszty Projektów</t>
  </si>
  <si>
    <r>
      <t>enova365 Zarządzanie Odzieżą Roboczą (wyposażenie pracownika)</t>
    </r>
    <r>
      <rPr>
        <sz val="8"/>
        <color rgb="FF404040"/>
        <rFont val="Arial"/>
        <family val="2"/>
        <charset val="238"/>
      </rPr>
      <t> </t>
    </r>
  </si>
  <si>
    <t>enova365 SMS</t>
  </si>
  <si>
    <t>enova365 CRM Outlook</t>
  </si>
  <si>
    <t>enova365 EDI</t>
  </si>
  <si>
    <t>enova365 eFaktura GreenMail24</t>
  </si>
  <si>
    <t>Kolor</t>
  </si>
  <si>
    <t>enova365 Pulpit Pracownika</t>
  </si>
  <si>
    <t>Opcja</t>
  </si>
  <si>
    <t>Tabele 1-5</t>
  </si>
  <si>
    <t>Tabele 6-15</t>
  </si>
  <si>
    <t>Tabele dodatkowe</t>
  </si>
  <si>
    <t>Ilość baz Wielofirmowa</t>
  </si>
  <si>
    <t>SUMA enova365 - instalacja podstawowa (5 baz)</t>
  </si>
  <si>
    <t>Dopłata za dodatkowe bazy w instalacji wielofirmowej</t>
  </si>
  <si>
    <t>WERSJA  1-BAZOWA</t>
  </si>
  <si>
    <t>RAZEM enova365</t>
  </si>
  <si>
    <t>enova365 e-mail</t>
  </si>
  <si>
    <t>enova365 Pulpit Kontrahenta</t>
  </si>
  <si>
    <t>enova365 Workflow w Pulpitach</t>
  </si>
  <si>
    <t>enova365 Pulpit Klienta Biura Rachunkowego</t>
  </si>
  <si>
    <t>- łączna ilość baz obsługiwana w instalacji</t>
  </si>
  <si>
    <t>SUMA enova365 Pulpity z bazami</t>
  </si>
  <si>
    <t>Dopłata za użytkowanie enova365 Pulpity w dodatkowych bazach</t>
  </si>
  <si>
    <t>Cena*</t>
  </si>
  <si>
    <t>Kalkulator jest materiałem pomocniczym przy szacowaniu zamówienia,</t>
  </si>
  <si>
    <t>Partner jest odpowiedzialny za przedstawioną Klientowi Ofertę</t>
  </si>
  <si>
    <t>i powinien każdorazowo sprawdzić zgodność cen z aktualnym cennikiem.</t>
  </si>
  <si>
    <t>Cena stanowiska                 [netto zł]</t>
  </si>
  <si>
    <t>Cena stanowiska multi [netto zł]</t>
  </si>
  <si>
    <t>W tym multi</t>
  </si>
  <si>
    <t>enova365 Analizy MS Excel</t>
  </si>
  <si>
    <t>BI</t>
  </si>
  <si>
    <t>SUMA BI</t>
  </si>
  <si>
    <t>enova365 Integrator</t>
  </si>
  <si>
    <t>enova365 Edycja kalendarza w Pulpicie Pracownika</t>
  </si>
  <si>
    <t>enova365 Zarządzanie Odzieżą Roboczą (wyposażenie pracownika) </t>
  </si>
  <si>
    <t xml:space="preserve">enova365 Pracownicy Eksportowi </t>
  </si>
  <si>
    <t>enova365 Pracownicy Prokuratury</t>
  </si>
  <si>
    <t>enova365 Rozrachunki Funduszy Pożyczkowych</t>
  </si>
  <si>
    <t>enova365 Czas Pracy</t>
  </si>
  <si>
    <t>enova365 Drukarki etykiet Zebra</t>
  </si>
  <si>
    <t>enova365 Integracja OCR</t>
  </si>
  <si>
    <t>Przewidywany koszt Aktualizacji Terminowej enova365</t>
  </si>
  <si>
    <t>roczna</t>
  </si>
  <si>
    <t>indywidualna wycena</t>
  </si>
  <si>
    <t>na własność</t>
  </si>
  <si>
    <t>SUMA enova365 OCR</t>
  </si>
  <si>
    <t>5 000 stron rocznie</t>
  </si>
  <si>
    <t>20 000 stron rocznie</t>
  </si>
  <si>
    <t>40 000 stron rocznie</t>
  </si>
  <si>
    <t>60 000 stron rocznie</t>
  </si>
  <si>
    <t>powyżej 60 000 stron rocznie</t>
  </si>
  <si>
    <t>enova365 Integracja OCR AKTUALIZACJA</t>
  </si>
  <si>
    <t>enova365 e-Sklepy Konektor</t>
  </si>
  <si>
    <t>AT</t>
  </si>
  <si>
    <t>Liczba równoczesnych użytkowników</t>
  </si>
  <si>
    <t>moduły, które działają samodzielnie,
każdy z nich zawiera w sobie dostęp do:
- Ewidencji Środków Pieniężnych
- Ewidencji Dokumentów
- lista Kontrahenci i Urzędy</t>
  </si>
  <si>
    <t>BI (licencja na serwer)</t>
  </si>
  <si>
    <t>MODUŁY PODSTAWOWE (licencja jednoczesnego dostępu - concurent user)</t>
  </si>
  <si>
    <t>MODUŁY DODATKOWE
dowolne moduły dodatkowe w cenie</t>
  </si>
  <si>
    <t>TABELE DODATKOWE
nielimitowana liczba tabel dodtakowych w cenie</t>
  </si>
  <si>
    <t>liczba dodatkowych baz - poza pierwszą</t>
  </si>
  <si>
    <t>do 50 kont</t>
  </si>
  <si>
    <t>do 100 kont</t>
  </si>
  <si>
    <t>do 200 kont</t>
  </si>
  <si>
    <t>do 500 kont</t>
  </si>
  <si>
    <t>do 1000 kont</t>
  </si>
  <si>
    <t>powyżej 1000 kont</t>
  </si>
  <si>
    <t>do 50 baz</t>
  </si>
  <si>
    <t>do 200 baz</t>
  </si>
  <si>
    <t>do 500 baz</t>
  </si>
  <si>
    <t>enova365 Eksporty Dekretów List Płac</t>
  </si>
  <si>
    <t>enova365 Kurierzy</t>
  </si>
  <si>
    <t>Cena</t>
  </si>
  <si>
    <t>Aktualizacja</t>
  </si>
  <si>
    <t>AO</t>
  </si>
  <si>
    <t>Cena za 1 szt.</t>
  </si>
  <si>
    <t>dopłata za kolejną bazę</t>
  </si>
  <si>
    <t>SERWEROWY Standard</t>
  </si>
  <si>
    <t>SERWEROWY Multi</t>
  </si>
  <si>
    <t>SERWEROWY WF Standard</t>
  </si>
  <si>
    <t>SERWEROWY WF Multi</t>
  </si>
  <si>
    <t>enova365 Kadry Płace wersja serwerowa</t>
  </si>
  <si>
    <t>enova365 Księga Podatkowa wersja serwerowa</t>
  </si>
  <si>
    <t>enova365 Księga Handlowa wersja serwerowa</t>
  </si>
  <si>
    <t>enova365 Księga Inwentarzowa wersja serwerowa</t>
  </si>
  <si>
    <t>enova365 Windykacja wersja serwerowa</t>
  </si>
  <si>
    <t>enova365 Faktury wersja serwerowa</t>
  </si>
  <si>
    <t>enova365 Handel wersja serwerowa</t>
  </si>
  <si>
    <t>enova365 Przedstawiciel Handlowy wersja serwerowa</t>
  </si>
  <si>
    <t>enova365 Produkcja wersja serwerowa</t>
  </si>
  <si>
    <t>enova365 CRM wersja serwerowa</t>
  </si>
  <si>
    <t>enova365 Serwis wersja serwerowa</t>
  </si>
  <si>
    <t>enova365 Szkolenia wersja serwerowa</t>
  </si>
  <si>
    <t>enova365 Wypożyczalnia wersja serwerowa</t>
  </si>
  <si>
    <t>enova365 Członkowie wersja serwerowa</t>
  </si>
  <si>
    <t>enova365 Projekty wersja serwerowa</t>
  </si>
  <si>
    <t>enova365 Workflow wersja serwerowa</t>
  </si>
  <si>
    <t>enova365 DMS wersja serwerowa</t>
  </si>
  <si>
    <t>enova365 Podgląd wersja serwerowa</t>
  </si>
  <si>
    <t>enova365 Preliminarz EŚP wersja serwerowa</t>
  </si>
  <si>
    <t>enova365 Delegacje Służbowe wersja serwerowa</t>
  </si>
  <si>
    <t>enova365 Opis Analityczny Aktywacja wersja serwerowa</t>
  </si>
  <si>
    <t>enova365 BI wersja serwerowa</t>
  </si>
  <si>
    <t>Cena standard [netto zł]</t>
  </si>
  <si>
    <t>Cena multi [netto zł]</t>
  </si>
  <si>
    <t>Stanowisko dostępowe 
[użytkownik jednoczesny]</t>
  </si>
  <si>
    <r>
      <t xml:space="preserve">minimum 25 
</t>
    </r>
    <r>
      <rPr>
        <b/>
        <sz val="10"/>
        <color theme="1"/>
        <rFont val="Calibri Light"/>
        <family val="2"/>
        <charset val="238"/>
      </rPr>
      <t>(przy pierwszym zakupie)</t>
    </r>
  </si>
  <si>
    <t>Obszary  podstawowe</t>
  </si>
  <si>
    <t>Użytkownicy</t>
  </si>
  <si>
    <t>platyna jednofirmowa</t>
  </si>
  <si>
    <t>enova365 BI w Pulpitach</t>
  </si>
  <si>
    <t>enova365 Symmetrical</t>
  </si>
  <si>
    <t>roczna nielimitowane stacje</t>
  </si>
  <si>
    <t>10 000 stron rocznie</t>
  </si>
  <si>
    <t>15 000 stron rocznie</t>
  </si>
  <si>
    <t>25 000 stron rocznie</t>
  </si>
  <si>
    <t>30 000 stron rocznie</t>
  </si>
  <si>
    <t>35 000 stron rocznie</t>
  </si>
  <si>
    <t>45 000 stron rocznie</t>
  </si>
  <si>
    <t>50 000 stron rocznie</t>
  </si>
  <si>
    <t>55 000 stron rocznie</t>
  </si>
  <si>
    <t>abonament roczny</t>
  </si>
  <si>
    <t>niedostępny</t>
  </si>
  <si>
    <t>Liczba stanowisk dostępowych</t>
  </si>
  <si>
    <t>enova365 Praca Hybrydowa wersja serwerowa</t>
  </si>
  <si>
    <t>enova365 Praca Hybrydowa w Pulpitach</t>
  </si>
  <si>
    <t>enova365 Konsola Produkcyjna wersja serwerowa</t>
  </si>
  <si>
    <t>Podstawowy miesięczny</t>
  </si>
  <si>
    <t>Rozszerzony miesięczny</t>
  </si>
  <si>
    <t>do 1000 baz</t>
  </si>
  <si>
    <t>powyżej 1000 baz</t>
  </si>
  <si>
    <t>enova365 WebApi</t>
  </si>
  <si>
    <t>enova365 WMS Konektor</t>
  </si>
  <si>
    <t>enova365 Pakiet Mobilności (kierowcy)</t>
  </si>
  <si>
    <t>enova365 Nieruchomości wersja serwerowa</t>
  </si>
  <si>
    <t>enova365 Flota wersja serwerowa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</si>
</sst>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&quot;zł&quot;* #,##0.00_);_(&quot;zł&quot;* \(#,##0.00\);_(&quot;zł&quot;* &quot;-&quot;??_);_(@_)"/>
    <numFmt numFmtId="166" formatCode="#,##0.00\ &quot;zł&quot;"/>
    <numFmt numFmtId="167" formatCode="_(* #,##0_);_(* \(#,##0\);_(* &quot;-&quot;??_);_(@_)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color theme="1"/>
      <name val="Calibri"/>
      <family val="2"/>
      <charset val="238"/>
      <scheme val="minor"/>
    </font>
    <font>
      <sz val="8"/>
      <color rgb="FF40404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0"/>
      <name val="Calibri Light"/>
      <family val="2"/>
      <charset val="238"/>
    </font>
    <font>
      <b/>
      <sz val="12"/>
      <color theme="1"/>
      <name val="Calibri Light"/>
      <family val="2"/>
      <charset val="238"/>
    </font>
    <font>
      <sz val="12"/>
      <color theme="0"/>
      <name val="Calibri Light"/>
      <family val="2"/>
      <charset val="238"/>
    </font>
    <font>
      <sz val="11"/>
      <color theme="1"/>
      <name val="Calibri Light"/>
      <family val="2"/>
      <charset val="238"/>
    </font>
    <font>
      <sz val="12"/>
      <color theme="1"/>
      <name val="Calibri Light"/>
      <family val="2"/>
      <charset val="238"/>
    </font>
    <font>
      <b/>
      <sz val="12"/>
      <name val="Calibri Light"/>
      <family val="2"/>
      <charset val="238"/>
    </font>
    <font>
      <b/>
      <sz val="12"/>
      <color rgb="FFFF0000"/>
      <name val="Calibri Light"/>
      <family val="2"/>
      <charset val="238"/>
    </font>
    <font>
      <sz val="12"/>
      <name val="Calibri Light"/>
      <family val="2"/>
      <charset val="238"/>
    </font>
    <font>
      <b/>
      <sz val="13"/>
      <color theme="1"/>
      <name val="Calibri Light"/>
      <family val="2"/>
      <charset val="238"/>
    </font>
    <font>
      <sz val="13"/>
      <color theme="1"/>
      <name val="Calibri Light"/>
      <family val="2"/>
      <charset val="238"/>
    </font>
    <font>
      <b/>
      <sz val="13"/>
      <color rgb="FFFF0000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6" tint="-0.249977111117893"/>
      <name val="Calibri Light"/>
      <family val="2"/>
      <charset val="238"/>
    </font>
    <font>
      <b/>
      <sz val="11"/>
      <color rgb="FFFF0000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b/>
      <sz val="11"/>
      <color rgb="FF92D050"/>
      <name val="Calibri Light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6" tint="-0.249977111117893"/>
      <name val="Calibri Light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DF8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E0FFA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5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0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left"/>
    </xf>
    <xf numFmtId="0" fontId="1" fillId="0" borderId="0" xfId="0" applyFont="1"/>
    <xf numFmtId="3" fontId="0" fillId="0" borderId="4" xfId="0" applyNumberFormat="1" applyBorder="1"/>
    <xf numFmtId="3" fontId="0" fillId="0" borderId="0" xfId="0" applyNumberFormat="1"/>
    <xf numFmtId="0" fontId="1" fillId="5" borderId="0" xfId="0" applyFont="1" applyFill="1"/>
    <xf numFmtId="0" fontId="1" fillId="9" borderId="0" xfId="0" applyFont="1" applyFill="1"/>
    <xf numFmtId="0" fontId="6" fillId="12" borderId="13" xfId="0" applyFont="1" applyFill="1" applyBorder="1" applyAlignment="1">
      <alignment horizontal="center" vertical="center"/>
    </xf>
    <xf numFmtId="166" fontId="6" fillId="12" borderId="14" xfId="0" applyNumberFormat="1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/>
    </xf>
    <xf numFmtId="166" fontId="8" fillId="12" borderId="11" xfId="0" applyNumberFormat="1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 wrapText="1"/>
    </xf>
    <xf numFmtId="0" fontId="8" fillId="12" borderId="32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/>
    </xf>
    <xf numFmtId="0" fontId="9" fillId="0" borderId="0" xfId="0" applyFont="1"/>
    <xf numFmtId="4" fontId="10" fillId="7" borderId="7" xfId="0" applyNumberFormat="1" applyFont="1" applyFill="1" applyBorder="1"/>
    <xf numFmtId="0" fontId="10" fillId="13" borderId="7" xfId="0" applyFont="1" applyFill="1" applyBorder="1" applyAlignment="1">
      <alignment horizontal="center"/>
    </xf>
    <xf numFmtId="4" fontId="10" fillId="7" borderId="9" xfId="0" applyNumberFormat="1" applyFont="1" applyFill="1" applyBorder="1"/>
    <xf numFmtId="4" fontId="10" fillId="7" borderId="7" xfId="0" applyNumberFormat="1" applyFont="1" applyFill="1" applyBorder="1" applyAlignment="1">
      <alignment horizontal="right"/>
    </xf>
    <xf numFmtId="4" fontId="7" fillId="14" borderId="9" xfId="0" applyNumberFormat="1" applyFont="1" applyFill="1" applyBorder="1"/>
    <xf numFmtId="0" fontId="10" fillId="12" borderId="7" xfId="0" applyFont="1" applyFill="1" applyBorder="1"/>
    <xf numFmtId="4" fontId="10" fillId="12" borderId="9" xfId="0" applyNumberFormat="1" applyFont="1" applyFill="1" applyBorder="1"/>
    <xf numFmtId="0" fontId="10" fillId="13" borderId="21" xfId="0" applyFont="1" applyFill="1" applyBorder="1" applyAlignment="1">
      <alignment horizontal="center"/>
    </xf>
    <xf numFmtId="4" fontId="10" fillId="12" borderId="7" xfId="0" applyNumberFormat="1" applyFont="1" applyFill="1" applyBorder="1"/>
    <xf numFmtId="0" fontId="10" fillId="7" borderId="21" xfId="0" applyFont="1" applyFill="1" applyBorder="1" applyAlignment="1">
      <alignment horizontal="center"/>
    </xf>
    <xf numFmtId="0" fontId="10" fillId="7" borderId="8" xfId="0" applyFont="1" applyFill="1" applyBorder="1"/>
    <xf numFmtId="0" fontId="7" fillId="2" borderId="7" xfId="0" applyFont="1" applyFill="1" applyBorder="1"/>
    <xf numFmtId="4" fontId="7" fillId="2" borderId="7" xfId="0" applyNumberFormat="1" applyFont="1" applyFill="1" applyBorder="1"/>
    <xf numFmtId="0" fontId="7" fillId="2" borderId="21" xfId="0" applyFont="1" applyFill="1" applyBorder="1"/>
    <xf numFmtId="4" fontId="7" fillId="2" borderId="9" xfId="0" applyNumberFormat="1" applyFont="1" applyFill="1" applyBorder="1"/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2" fontId="7" fillId="2" borderId="7" xfId="0" applyNumberFormat="1" applyFont="1" applyFill="1" applyBorder="1"/>
    <xf numFmtId="2" fontId="7" fillId="2" borderId="21" xfId="0" applyNumberFormat="1" applyFont="1" applyFill="1" applyBorder="1"/>
    <xf numFmtId="0" fontId="6" fillId="12" borderId="21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4" fontId="8" fillId="12" borderId="7" xfId="0" applyNumberFormat="1" applyFont="1" applyFill="1" applyBorder="1"/>
    <xf numFmtId="4" fontId="8" fillId="12" borderId="9" xfId="0" applyNumberFormat="1" applyFont="1" applyFill="1" applyBorder="1"/>
    <xf numFmtId="0" fontId="7" fillId="15" borderId="13" xfId="0" applyFont="1" applyFill="1" applyBorder="1"/>
    <xf numFmtId="0" fontId="11" fillId="15" borderId="13" xfId="0" applyFont="1" applyFill="1" applyBorder="1"/>
    <xf numFmtId="0" fontId="11" fillId="15" borderId="14" xfId="0" applyFont="1" applyFill="1" applyBorder="1"/>
    <xf numFmtId="0" fontId="11" fillId="15" borderId="23" xfId="0" applyFont="1" applyFill="1" applyBorder="1"/>
    <xf numFmtId="4" fontId="11" fillId="15" borderId="15" xfId="0" applyNumberFormat="1" applyFont="1" applyFill="1" applyBorder="1"/>
    <xf numFmtId="4" fontId="10" fillId="7" borderId="8" xfId="0" applyNumberFormat="1" applyFont="1" applyFill="1" applyBorder="1"/>
    <xf numFmtId="0" fontId="10" fillId="2" borderId="7" xfId="0" applyFont="1" applyFill="1" applyBorder="1" applyAlignment="1">
      <alignment horizontal="center"/>
    </xf>
    <xf numFmtId="4" fontId="10" fillId="2" borderId="7" xfId="0" applyNumberFormat="1" applyFont="1" applyFill="1" applyBorder="1"/>
    <xf numFmtId="0" fontId="10" fillId="2" borderId="21" xfId="0" applyFont="1" applyFill="1" applyBorder="1" applyAlignment="1">
      <alignment horizontal="center"/>
    </xf>
    <xf numFmtId="2" fontId="14" fillId="10" borderId="29" xfId="0" applyNumberFormat="1" applyFont="1" applyFill="1" applyBorder="1" applyAlignment="1">
      <alignment horizontal="center"/>
    </xf>
    <xf numFmtId="0" fontId="7" fillId="10" borderId="8" xfId="0" applyFont="1" applyFill="1" applyBorder="1" applyAlignment="1">
      <alignment horizontal="center" vertical="center" wrapText="1"/>
    </xf>
    <xf numFmtId="49" fontId="14" fillId="10" borderId="31" xfId="0" applyNumberFormat="1" applyFont="1" applyFill="1" applyBorder="1" applyAlignment="1">
      <alignment horizontal="left" vertical="center"/>
    </xf>
    <xf numFmtId="0" fontId="7" fillId="10" borderId="29" xfId="0" applyFont="1" applyFill="1" applyBorder="1" applyAlignment="1">
      <alignment horizontal="center"/>
    </xf>
    <xf numFmtId="0" fontId="14" fillId="10" borderId="29" xfId="0" applyFont="1" applyFill="1" applyBorder="1" applyAlignment="1">
      <alignment horizontal="center"/>
    </xf>
    <xf numFmtId="0" fontId="14" fillId="10" borderId="8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/>
    </xf>
    <xf numFmtId="0" fontId="14" fillId="6" borderId="16" xfId="0" applyFont="1" applyFill="1" applyBorder="1"/>
    <xf numFmtId="0" fontId="14" fillId="6" borderId="29" xfId="0" applyFont="1" applyFill="1" applyBorder="1"/>
    <xf numFmtId="4" fontId="14" fillId="6" borderId="17" xfId="0" applyNumberFormat="1" applyFont="1" applyFill="1" applyBorder="1"/>
    <xf numFmtId="0" fontId="15" fillId="6" borderId="22" xfId="0" applyFont="1" applyFill="1" applyBorder="1"/>
    <xf numFmtId="0" fontId="15" fillId="6" borderId="24" xfId="0" applyFont="1" applyFill="1" applyBorder="1"/>
    <xf numFmtId="0" fontId="15" fillId="15" borderId="14" xfId="0" applyFont="1" applyFill="1" applyBorder="1"/>
    <xf numFmtId="0" fontId="15" fillId="15" borderId="23" xfId="0" applyFont="1" applyFill="1" applyBorder="1"/>
    <xf numFmtId="4" fontId="14" fillId="15" borderId="15" xfId="0" applyNumberFormat="1" applyFont="1" applyFill="1" applyBorder="1"/>
    <xf numFmtId="0" fontId="6" fillId="12" borderId="23" xfId="0" applyFont="1" applyFill="1" applyBorder="1" applyAlignment="1">
      <alignment horizontal="center" vertical="center"/>
    </xf>
    <xf numFmtId="4" fontId="6" fillId="12" borderId="7" xfId="0" applyNumberFormat="1" applyFont="1" applyFill="1" applyBorder="1" applyAlignment="1">
      <alignment horizontal="center" vertical="center"/>
    </xf>
    <xf numFmtId="4" fontId="6" fillId="12" borderId="9" xfId="0" applyNumberFormat="1" applyFont="1" applyFill="1" applyBorder="1"/>
    <xf numFmtId="3" fontId="10" fillId="13" borderId="7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right" vertical="center"/>
    </xf>
    <xf numFmtId="0" fontId="7" fillId="10" borderId="35" xfId="0" applyFont="1" applyFill="1" applyBorder="1" applyAlignment="1">
      <alignment horizontal="left" vertical="center"/>
    </xf>
    <xf numFmtId="0" fontId="14" fillId="10" borderId="29" xfId="0" applyFont="1" applyFill="1" applyBorder="1" applyAlignment="1">
      <alignment horizontal="left"/>
    </xf>
    <xf numFmtId="0" fontId="14" fillId="10" borderId="30" xfId="0" applyFont="1" applyFill="1" applyBorder="1" applyAlignment="1">
      <alignment horizontal="left"/>
    </xf>
    <xf numFmtId="0" fontId="14" fillId="10" borderId="3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/>
    </xf>
    <xf numFmtId="0" fontId="14" fillId="13" borderId="7" xfId="0" applyFont="1" applyFill="1" applyBorder="1"/>
    <xf numFmtId="9" fontId="15" fillId="13" borderId="7" xfId="0" applyNumberFormat="1" applyFont="1" applyFill="1" applyBorder="1"/>
    <xf numFmtId="9" fontId="15" fillId="6" borderId="7" xfId="0" applyNumberFormat="1" applyFont="1" applyFill="1" applyBorder="1"/>
    <xf numFmtId="0" fontId="15" fillId="13" borderId="7" xfId="0" applyFont="1" applyFill="1" applyBorder="1" applyAlignment="1">
      <alignment horizontal="center"/>
    </xf>
    <xf numFmtId="0" fontId="15" fillId="6" borderId="7" xfId="0" applyFont="1" applyFill="1" applyBorder="1"/>
    <xf numFmtId="4" fontId="15" fillId="6" borderId="9" xfId="0" applyNumberFormat="1" applyFont="1" applyFill="1" applyBorder="1"/>
    <xf numFmtId="0" fontId="10" fillId="0" borderId="0" xfId="0" applyFont="1"/>
    <xf numFmtId="0" fontId="11" fillId="14" borderId="8" xfId="0" applyFont="1" applyFill="1" applyBorder="1" applyAlignment="1">
      <alignment horizontal="center"/>
    </xf>
    <xf numFmtId="4" fontId="10" fillId="14" borderId="7" xfId="0" applyNumberFormat="1" applyFont="1" applyFill="1" applyBorder="1"/>
    <xf numFmtId="0" fontId="10" fillId="14" borderId="7" xfId="0" applyFont="1" applyFill="1" applyBorder="1" applyAlignment="1">
      <alignment horizontal="center"/>
    </xf>
    <xf numFmtId="0" fontId="10" fillId="14" borderId="21" xfId="0" applyFont="1" applyFill="1" applyBorder="1" applyAlignment="1">
      <alignment horizontal="center"/>
    </xf>
    <xf numFmtId="0" fontId="7" fillId="12" borderId="7" xfId="0" applyFont="1" applyFill="1" applyBorder="1" applyAlignment="1">
      <alignment horizontal="center" vertical="center"/>
    </xf>
    <xf numFmtId="0" fontId="7" fillId="12" borderId="21" xfId="0" applyFont="1" applyFill="1" applyBorder="1" applyAlignment="1">
      <alignment horizontal="center" vertical="center"/>
    </xf>
    <xf numFmtId="0" fontId="10" fillId="13" borderId="7" xfId="0" applyFont="1" applyFill="1" applyBorder="1" applyAlignment="1">
      <alignment horizontal="center" wrapText="1"/>
    </xf>
    <xf numFmtId="164" fontId="9" fillId="0" borderId="0" xfId="4" applyFont="1"/>
    <xf numFmtId="164" fontId="17" fillId="0" borderId="0" xfId="4" applyFont="1"/>
    <xf numFmtId="4" fontId="0" fillId="0" borderId="0" xfId="0" applyNumberFormat="1"/>
    <xf numFmtId="4" fontId="11" fillId="16" borderId="27" xfId="0" applyNumberFormat="1" applyFont="1" applyFill="1" applyBorder="1"/>
    <xf numFmtId="4" fontId="10" fillId="7" borderId="8" xfId="0" applyNumberFormat="1" applyFont="1" applyFill="1" applyBorder="1" applyAlignment="1">
      <alignment wrapText="1"/>
    </xf>
    <xf numFmtId="4" fontId="7" fillId="12" borderId="9" xfId="0" applyNumberFormat="1" applyFont="1" applyFill="1" applyBorder="1"/>
    <xf numFmtId="0" fontId="13" fillId="7" borderId="8" xfId="0" applyFont="1" applyFill="1" applyBorder="1" applyAlignment="1">
      <alignment horizontal="left"/>
    </xf>
    <xf numFmtId="0" fontId="0" fillId="3" borderId="1" xfId="0" applyFill="1" applyBorder="1"/>
    <xf numFmtId="0" fontId="10" fillId="14" borderId="7" xfId="0" applyFont="1" applyFill="1" applyBorder="1"/>
    <xf numFmtId="0" fontId="6" fillId="12" borderId="7" xfId="0" applyFont="1" applyFill="1" applyBorder="1" applyAlignment="1">
      <alignment horizontal="center"/>
    </xf>
    <xf numFmtId="0" fontId="6" fillId="12" borderId="21" xfId="0" applyFont="1" applyFill="1" applyBorder="1" applyAlignment="1">
      <alignment horizontal="center"/>
    </xf>
    <xf numFmtId="3" fontId="0" fillId="0" borderId="3" xfId="0" applyNumberFormat="1" applyBorder="1"/>
    <xf numFmtId="0" fontId="15" fillId="0" borderId="0" xfId="0" applyFont="1"/>
    <xf numFmtId="4" fontId="14" fillId="10" borderId="17" xfId="0" applyNumberFormat="1" applyFont="1" applyFill="1" applyBorder="1" applyAlignment="1">
      <alignment horizontal="right" vertical="center"/>
    </xf>
    <xf numFmtId="4" fontId="14" fillId="10" borderId="12" xfId="0" applyNumberFormat="1" applyFont="1" applyFill="1" applyBorder="1" applyAlignment="1">
      <alignment horizontal="right" vertical="center"/>
    </xf>
    <xf numFmtId="2" fontId="14" fillId="10" borderId="16" xfId="0" applyNumberFormat="1" applyFont="1" applyFill="1" applyBorder="1" applyAlignment="1">
      <alignment horizontal="center"/>
    </xf>
    <xf numFmtId="49" fontId="14" fillId="10" borderId="32" xfId="0" applyNumberFormat="1" applyFont="1" applyFill="1" applyBorder="1" applyAlignment="1">
      <alignment horizontal="left" vertical="center"/>
    </xf>
    <xf numFmtId="49" fontId="14" fillId="10" borderId="34" xfId="0" applyNumberFormat="1" applyFont="1" applyFill="1" applyBorder="1" applyAlignment="1">
      <alignment horizontal="left" vertical="center"/>
    </xf>
    <xf numFmtId="49" fontId="7" fillId="10" borderId="29" xfId="0" quotePrefix="1" applyNumberFormat="1" applyFont="1" applyFill="1" applyBorder="1" applyAlignment="1">
      <alignment horizontal="left" vertical="center"/>
    </xf>
    <xf numFmtId="4" fontId="14" fillId="10" borderId="17" xfId="0" applyNumberFormat="1" applyFont="1" applyFill="1" applyBorder="1" applyAlignment="1">
      <alignment horizontal="right"/>
    </xf>
    <xf numFmtId="49" fontId="7" fillId="10" borderId="30" xfId="0" quotePrefix="1" applyNumberFormat="1" applyFont="1" applyFill="1" applyBorder="1" applyAlignment="1">
      <alignment horizontal="center" vertical="center" wrapText="1"/>
    </xf>
    <xf numFmtId="49" fontId="14" fillId="10" borderId="33" xfId="0" applyNumberFormat="1" applyFont="1" applyFill="1" applyBorder="1" applyAlignment="1">
      <alignment horizontal="left" vertical="center"/>
    </xf>
    <xf numFmtId="167" fontId="9" fillId="0" borderId="0" xfId="4" applyNumberFormat="1" applyFont="1" applyFill="1"/>
    <xf numFmtId="0" fontId="9" fillId="0" borderId="0" xfId="0" quotePrefix="1" applyFont="1"/>
    <xf numFmtId="10" fontId="9" fillId="0" borderId="0" xfId="0" applyNumberFormat="1" applyFont="1"/>
    <xf numFmtId="167" fontId="9" fillId="0" borderId="0" xfId="0" applyNumberFormat="1" applyFont="1"/>
    <xf numFmtId="164" fontId="9" fillId="0" borderId="0" xfId="4" quotePrefix="1" applyFont="1" applyFill="1"/>
    <xf numFmtId="10" fontId="9" fillId="0" borderId="0" xfId="3" applyNumberFormat="1" applyFont="1" applyFill="1"/>
    <xf numFmtId="164" fontId="9" fillId="0" borderId="0" xfId="4" applyFont="1" applyFill="1"/>
    <xf numFmtId="0" fontId="0" fillId="0" borderId="36" xfId="0" applyBorder="1"/>
    <xf numFmtId="0" fontId="10" fillId="13" borderId="2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10" fillId="7" borderId="7" xfId="0" applyNumberFormat="1" applyFont="1" applyFill="1" applyBorder="1" applyAlignment="1">
      <alignment horizontal="right" wrapText="1"/>
    </xf>
    <xf numFmtId="4" fontId="10" fillId="7" borderId="9" xfId="0" applyNumberFormat="1" applyFont="1" applyFill="1" applyBorder="1" applyAlignment="1">
      <alignment wrapText="1"/>
    </xf>
    <xf numFmtId="9" fontId="15" fillId="6" borderId="16" xfId="0" applyNumberFormat="1" applyFont="1" applyFill="1" applyBorder="1"/>
    <xf numFmtId="0" fontId="15" fillId="6" borderId="16" xfId="0" applyFont="1" applyFill="1" applyBorder="1"/>
    <xf numFmtId="4" fontId="16" fillId="6" borderId="17" xfId="0" applyNumberFormat="1" applyFont="1" applyFill="1" applyBorder="1"/>
    <xf numFmtId="0" fontId="12" fillId="12" borderId="23" xfId="0" applyFont="1" applyFill="1" applyBorder="1" applyAlignment="1">
      <alignment horizontal="center" vertical="center" wrapText="1"/>
    </xf>
    <xf numFmtId="4" fontId="19" fillId="11" borderId="8" xfId="0" applyNumberFormat="1" applyFont="1" applyFill="1" applyBorder="1"/>
    <xf numFmtId="164" fontId="19" fillId="0" borderId="0" xfId="4" applyFont="1" applyAlignment="1">
      <alignment vertical="top" wrapText="1"/>
    </xf>
    <xf numFmtId="164" fontId="12" fillId="0" borderId="0" xfId="4" applyFont="1" applyAlignment="1">
      <alignment horizontal="left"/>
    </xf>
    <xf numFmtId="0" fontId="20" fillId="0" borderId="0" xfId="0" applyFont="1"/>
    <xf numFmtId="9" fontId="0" fillId="0" borderId="0" xfId="0" applyNumberFormat="1"/>
    <xf numFmtId="4" fontId="18" fillId="0" borderId="0" xfId="0" applyNumberFormat="1" applyFont="1"/>
    <xf numFmtId="1" fontId="0" fillId="0" borderId="0" xfId="0" applyNumberFormat="1"/>
    <xf numFmtId="0" fontId="1" fillId="0" borderId="0" xfId="0" applyFont="1" applyAlignment="1">
      <alignment horizontal="center"/>
    </xf>
    <xf numFmtId="4" fontId="10" fillId="2" borderId="16" xfId="0" applyNumberFormat="1" applyFont="1" applyFill="1" applyBorder="1"/>
    <xf numFmtId="166" fontId="6" fillId="12" borderId="7" xfId="0" applyNumberFormat="1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/>
    </xf>
    <xf numFmtId="4" fontId="0" fillId="17" borderId="40" xfId="0" applyNumberFormat="1" applyFill="1" applyBorder="1"/>
    <xf numFmtId="0" fontId="0" fillId="17" borderId="40" xfId="0" applyFill="1" applyBorder="1" applyAlignment="1">
      <alignment wrapText="1"/>
    </xf>
    <xf numFmtId="4" fontId="10" fillId="7" borderId="8" xfId="0" applyNumberFormat="1" applyFont="1" applyFill="1" applyBorder="1" applyAlignment="1">
      <alignment horizontal="center" vertical="center" wrapText="1"/>
    </xf>
    <xf numFmtId="4" fontId="13" fillId="11" borderId="8" xfId="0" applyNumberFormat="1" applyFont="1" applyFill="1" applyBorder="1"/>
    <xf numFmtId="4" fontId="19" fillId="7" borderId="8" xfId="0" applyNumberFormat="1" applyFont="1" applyFill="1" applyBorder="1"/>
    <xf numFmtId="0" fontId="22" fillId="0" borderId="0" xfId="0" applyFont="1"/>
    <xf numFmtId="0" fontId="18" fillId="3" borderId="0" xfId="0" applyFont="1" applyFill="1"/>
    <xf numFmtId="0" fontId="20" fillId="0" borderId="0" xfId="0" applyFont="1" applyAlignment="1">
      <alignment wrapText="1"/>
    </xf>
    <xf numFmtId="0" fontId="10" fillId="13" borderId="29" xfId="0" applyFont="1" applyFill="1" applyBorder="1" applyAlignment="1">
      <alignment horizontal="center"/>
    </xf>
    <xf numFmtId="4" fontId="13" fillId="7" borderId="8" xfId="0" applyNumberFormat="1" applyFont="1" applyFill="1" applyBorder="1"/>
    <xf numFmtId="4" fontId="0" fillId="0" borderId="0" xfId="0" applyNumberFormat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23" fillId="3" borderId="0" xfId="0" applyFont="1" applyFill="1"/>
    <xf numFmtId="0" fontId="23" fillId="4" borderId="0" xfId="0" applyFont="1" applyFill="1" applyAlignment="1">
      <alignment horizontal="center"/>
    </xf>
    <xf numFmtId="0" fontId="23" fillId="3" borderId="39" xfId="0" applyFont="1" applyFill="1" applyBorder="1"/>
    <xf numFmtId="0" fontId="23" fillId="4" borderId="39" xfId="0" applyFont="1" applyFill="1" applyBorder="1" applyAlignment="1">
      <alignment horizontal="center"/>
    </xf>
    <xf numFmtId="0" fontId="19" fillId="0" borderId="0" xfId="0" applyFont="1"/>
    <xf numFmtId="0" fontId="12" fillId="0" borderId="0" xfId="0" applyFont="1"/>
    <xf numFmtId="0" fontId="23" fillId="8" borderId="0" xfId="0" applyFont="1" applyFill="1" applyAlignment="1">
      <alignment horizontal="left"/>
    </xf>
    <xf numFmtId="0" fontId="23" fillId="8" borderId="39" xfId="0" applyFont="1" applyFill="1" applyBorder="1" applyAlignment="1">
      <alignment horizontal="left"/>
    </xf>
    <xf numFmtId="0" fontId="18" fillId="0" borderId="0" xfId="0" applyFont="1"/>
    <xf numFmtId="3" fontId="18" fillId="0" borderId="0" xfId="0" applyNumberFormat="1" applyFont="1"/>
    <xf numFmtId="0" fontId="24" fillId="0" borderId="0" xfId="0" applyFont="1"/>
    <xf numFmtId="4" fontId="1" fillId="0" borderId="0" xfId="0" applyNumberFormat="1" applyFont="1"/>
    <xf numFmtId="0" fontId="7" fillId="2" borderId="21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13" fillId="16" borderId="25" xfId="0" applyFont="1" applyFill="1" applyBorder="1" applyAlignment="1">
      <alignment horizontal="left"/>
    </xf>
    <xf numFmtId="0" fontId="13" fillId="16" borderId="26" xfId="0" applyFont="1" applyFill="1" applyBorder="1" applyAlignment="1">
      <alignment horizontal="left"/>
    </xf>
    <xf numFmtId="0" fontId="13" fillId="16" borderId="37" xfId="0" applyFont="1" applyFill="1" applyBorder="1" applyAlignment="1">
      <alignment horizontal="left"/>
    </xf>
    <xf numFmtId="0" fontId="6" fillId="12" borderId="22" xfId="0" applyFont="1" applyFill="1" applyBorder="1" applyAlignment="1">
      <alignment horizontal="center" vertical="center" wrapText="1"/>
    </xf>
    <xf numFmtId="0" fontId="6" fillId="12" borderId="28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left"/>
    </xf>
    <xf numFmtId="0" fontId="10" fillId="7" borderId="28" xfId="0" applyFont="1" applyFill="1" applyBorder="1" applyAlignment="1">
      <alignment horizontal="left"/>
    </xf>
    <xf numFmtId="0" fontId="10" fillId="7" borderId="20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6" fillId="12" borderId="18" xfId="0" applyFont="1" applyFill="1" applyBorder="1" applyAlignment="1">
      <alignment horizontal="center" vertical="center"/>
    </xf>
    <xf numFmtId="0" fontId="6" fillId="12" borderId="19" xfId="0" applyFont="1" applyFill="1" applyBorder="1" applyAlignment="1">
      <alignment horizontal="center" vertical="center"/>
    </xf>
    <xf numFmtId="0" fontId="6" fillId="12" borderId="38" xfId="0" applyFont="1" applyFill="1" applyBorder="1" applyAlignment="1">
      <alignment horizontal="center" vertical="center"/>
    </xf>
    <xf numFmtId="0" fontId="6" fillId="12" borderId="22" xfId="0" applyFont="1" applyFill="1" applyBorder="1" applyAlignment="1">
      <alignment horizontal="center"/>
    </xf>
    <xf numFmtId="0" fontId="6" fillId="12" borderId="28" xfId="0" applyFont="1" applyFill="1" applyBorder="1" applyAlignment="1">
      <alignment horizontal="center"/>
    </xf>
    <xf numFmtId="0" fontId="6" fillId="12" borderId="20" xfId="0" applyFont="1" applyFill="1" applyBorder="1" applyAlignment="1">
      <alignment horizontal="center"/>
    </xf>
    <xf numFmtId="0" fontId="6" fillId="12" borderId="21" xfId="0" applyFont="1" applyFill="1" applyBorder="1" applyAlignment="1">
      <alignment horizontal="center" vertical="center" wrapText="1"/>
    </xf>
    <xf numFmtId="0" fontId="10" fillId="18" borderId="21" xfId="0" applyFont="1" applyFill="1" applyBorder="1" applyAlignment="1">
      <alignment horizontal="center"/>
    </xf>
    <xf numFmtId="0" fontId="10" fillId="18" borderId="20" xfId="0" applyFont="1" applyFill="1" applyBorder="1" applyAlignment="1">
      <alignment horizontal="center"/>
    </xf>
    <xf numFmtId="0" fontId="10" fillId="7" borderId="35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49" fontId="7" fillId="2" borderId="29" xfId="0" applyNumberFormat="1" applyFont="1" applyFill="1" applyBorder="1" applyAlignment="1">
      <alignment horizontal="left" vertical="center"/>
    </xf>
    <xf numFmtId="49" fontId="7" fillId="2" borderId="30" xfId="0" applyNumberFormat="1" applyFont="1" applyFill="1" applyBorder="1" applyAlignment="1">
      <alignment horizontal="left" vertical="center"/>
    </xf>
    <xf numFmtId="49" fontId="7" fillId="2" borderId="31" xfId="0" applyNumberFormat="1" applyFont="1" applyFill="1" applyBorder="1" applyAlignment="1">
      <alignment horizontal="left" vertical="center"/>
    </xf>
    <xf numFmtId="49" fontId="7" fillId="2" borderId="32" xfId="0" applyNumberFormat="1" applyFont="1" applyFill="1" applyBorder="1" applyAlignment="1">
      <alignment horizontal="center" vertical="center"/>
    </xf>
    <xf numFmtId="49" fontId="7" fillId="2" borderId="33" xfId="0" applyNumberFormat="1" applyFont="1" applyFill="1" applyBorder="1" applyAlignment="1">
      <alignment horizontal="center" vertical="center"/>
    </xf>
    <xf numFmtId="49" fontId="7" fillId="2" borderId="34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</cellXfs>
  <cellStyles count="5">
    <cellStyle name="Dziesiętny" xfId="4" builtinId="3"/>
    <cellStyle name="Normalny" xfId="0" builtinId="0"/>
    <cellStyle name="Normalny 2" xfId="1" xr:uid="{00000000-0005-0000-0000-000003000000}"/>
    <cellStyle name="Procentowy" xfId="3" builtinId="5"/>
    <cellStyle name="Walutowy 2" xfId="2" xr:uid="{00000000-0005-0000-0000-000005000000}"/>
  </cellStyles>
  <dxfs count="41"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6" tint="0.59999389629810485"/>
        </patternFill>
      </fill>
      <alignment horizontal="general" vertical="bottom" textRotation="0" wrapText="0" indent="0" justifyLastLine="0" shrinkToFit="0" readingOrder="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6" tint="0.59999389629810485"/>
        </patternFill>
      </fill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6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numFmt numFmtId="4" formatCode="#,##0.00"/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general" vertical="bottom" textRotation="0" wrapText="0" indent="0" justifyLastLine="0" shrinkToFit="0" readingOrder="0"/>
    </dxf>
    <dxf>
      <numFmt numFmtId="4" formatCode="#,##0.0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6" tint="0.59999389629810485"/>
        </patternFill>
      </fill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6" tint="0.59999389629810485"/>
        </patternFill>
      </fill>
    </dxf>
    <dxf>
      <numFmt numFmtId="4" formatCode="#,##0.0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numFmt numFmtId="4" formatCode="#,##0.0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none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numFmt numFmtId="4" formatCode="#,##0.0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</dxfs>
  <tableStyles count="0" defaultTableStyle="TableStyleMedium2" defaultPivotStyle="PivotStyleLight16"/>
  <colors>
    <mruColors>
      <color rgb="FFFDF8A6"/>
      <color rgb="FFF2F2F2"/>
      <color rgb="FFD9D9D9"/>
      <color rgb="FF92CDDC"/>
      <color rgb="FFDAEEF3"/>
      <color rgb="FFFFFF66"/>
      <color rgb="FF008080"/>
      <color rgb="FF000080"/>
      <color rgb="FFD8E4BC"/>
      <color rgb="FFE0FF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oduly_podstawowe" displayName="moduly_podstawowe" ref="A5:E30" totalsRowShown="0" headerRowDxfId="40">
  <autoFilter ref="A5:E30" xr:uid="{00000000-0009-0000-0100-000001000000}"/>
  <tableColumns count="5">
    <tableColumn id="1" xr3:uid="{00000000-0010-0000-0000-000001000000}" name="Obszary  podstawowe" dataDxfId="39"/>
    <tableColumn id="2" xr3:uid="{00000000-0010-0000-0000-000002000000}" name="SERWEROWY Standard" dataDxfId="38"/>
    <tableColumn id="3" xr3:uid="{00000000-0010-0000-0000-000003000000}" name="SERWEROWY Multi" dataDxfId="37"/>
    <tableColumn id="4" xr3:uid="{00000000-0010-0000-0000-000004000000}" name="SERWEROWY WF Standard" dataDxfId="36"/>
    <tableColumn id="5" xr3:uid="{00000000-0010-0000-0000-000005000000}" name="SERWEROWY WF Multi" dataDxfId="35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pulpity_WF12" displayName="pulpity_WF12" ref="A106:B112" totalsRowShown="0" headerRowDxfId="7">
  <autoFilter ref="A106:B112" xr:uid="{00000000-0009-0000-0100-00000B000000}"/>
  <tableColumns count="2">
    <tableColumn id="1" xr3:uid="{00000000-0010-0000-0900-000001000000}" name="enova365 BI w Pulpitach"/>
    <tableColumn id="2" xr3:uid="{00000000-0010-0000-0900-000002000000}" name="Cena" dataDxfId="6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A000000}" name="pulpity_WF1217" displayName="pulpity_WF1217" ref="A114:B120" totalsRowShown="0" headerRowDxfId="5">
  <autoFilter ref="A114:B120" xr:uid="{00000000-0009-0000-0100-000010000000}"/>
  <tableColumns count="2">
    <tableColumn id="1" xr3:uid="{00000000-0010-0000-0A00-000001000000}" name="enova365 Praca Hybrydowa w Pulpitach"/>
    <tableColumn id="2" xr3:uid="{00000000-0010-0000-0A00-000002000000}" name="Cena" dataDxfId="4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B000000}" name="OCR" displayName="OCR" ref="A126:B139" totalsRowShown="0" headerRowDxfId="3" dataDxfId="2">
  <autoFilter ref="A126:B139" xr:uid="{00000000-0009-0000-0100-000009000000}"/>
  <tableColumns count="2">
    <tableColumn id="1" xr3:uid="{00000000-0010-0000-0B00-000001000000}" name="enova365 Integracja OCR" dataDxfId="1"/>
    <tableColumn id="2" xr3:uid="{00000000-0010-0000-0B00-000002000000}" name="roczna nielimitowane stacje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moduly_dodatkowe" displayName="moduly_dodatkowe" ref="A37:B64" totalsRowShown="0" headerRowDxfId="34">
  <autoFilter ref="A37:B64" xr:uid="{00000000-0009-0000-0100-000003000000}"/>
  <tableColumns count="2">
    <tableColumn id="1" xr3:uid="{00000000-0010-0000-0100-000001000000}" name="Moduły  dodatkowe" dataDxfId="33"/>
    <tableColumn id="2" xr3:uid="{00000000-0010-0000-0100-000002000000}" name="Cena" dataDxfId="3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ele" displayName="tabele" ref="A67:B69" totalsRowShown="0" headerRowDxfId="31">
  <autoFilter ref="A67:B69" xr:uid="{00000000-0009-0000-0100-000004000000}"/>
  <tableColumns count="2">
    <tableColumn id="1" xr3:uid="{00000000-0010-0000-0200-000001000000}" name="TABELE DODATKOWE - ZŁOTO do maks. 15 tabel" dataDxfId="30"/>
    <tableColumn id="2" xr3:uid="{00000000-0010-0000-0200-000002000000}" name="Cena za 1 szt." dataDxfId="2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pulpity_KP" displayName="pulpity_KP" ref="A72:B80" totalsRowShown="0" headerRowDxfId="28">
  <autoFilter ref="A72:B80" xr:uid="{00000000-0009-0000-0100-000005000000}"/>
  <tableColumns count="2">
    <tableColumn id="1" xr3:uid="{00000000-0010-0000-0300-000001000000}" name="enova365 Pulpit Pracownika"/>
    <tableColumn id="2" xr3:uid="{00000000-0010-0000-0300-000002000000}" name="Cena" dataDxfId="2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pulpity_HA" displayName="pulpity_HA" ref="A82:B88" totalsRowShown="0" headerRowDxfId="26">
  <autoFilter ref="A82:B88" xr:uid="{00000000-0009-0000-0100-000006000000}"/>
  <tableColumns count="2">
    <tableColumn id="1" xr3:uid="{00000000-0010-0000-0400-000001000000}" name="enova365 Pulpit Kontrahenta"/>
    <tableColumn id="2" xr3:uid="{00000000-0010-0000-0400-000002000000}" name="Cena" dataDxfId="2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pulpity_WF" displayName="pulpity_WF" ref="A90:B96" totalsRowShown="0" headerRowDxfId="24">
  <autoFilter ref="A90:B96" xr:uid="{00000000-0009-0000-0100-000007000000}"/>
  <tableColumns count="2">
    <tableColumn id="1" xr3:uid="{00000000-0010-0000-0500-000001000000}" name="enova365 Workflow w Pulpitach"/>
    <tableColumn id="2" xr3:uid="{00000000-0010-0000-0500-000002000000}" name="Cena" dataDxfId="2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pulpity_KBR" displayName="pulpity_KBR" ref="A98:C104" totalsRowShown="0" headerRowDxfId="22">
  <autoFilter ref="A98:C104" xr:uid="{00000000-0009-0000-0100-000008000000}"/>
  <tableColumns count="3">
    <tableColumn id="1" xr3:uid="{00000000-0010-0000-0600-000001000000}" name="enova365 Pulpit Klienta Biura Rachunkowego"/>
    <tableColumn id="2" xr3:uid="{00000000-0010-0000-0600-000002000000}" name="Podstawowy miesięczny" dataDxfId="21"/>
    <tableColumn id="3" xr3:uid="{00000000-0010-0000-0600-000003000000}" name="Rozszerzony miesięczny" dataDxfId="2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BI" displayName="BI" ref="A122:B124" totalsRowShown="0" headerRowDxfId="19">
  <autoFilter ref="A122:B124" xr:uid="{00000000-0009-0000-0100-00000A000000}"/>
  <tableColumns count="2">
    <tableColumn id="1" xr3:uid="{00000000-0010-0000-0700-000001000000}" name="BI"/>
    <tableColumn id="2" xr3:uid="{00000000-0010-0000-0700-000002000000}" name="platyna" dataDxfId="18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8000000}" name="user" displayName="user" ref="A33:E34" totalsRowShown="0" headerRowDxfId="17" dataDxfId="15" headerRowBorderDxfId="16" tableBorderDxfId="14" totalsRowBorderDxfId="13">
  <autoFilter ref="A33:E34" xr:uid="{00000000-0009-0000-0100-000002000000}"/>
  <tableColumns count="5">
    <tableColumn id="1" xr3:uid="{00000000-0010-0000-0800-000001000000}" name="Użytkownicy" dataDxfId="12"/>
    <tableColumn id="2" xr3:uid="{00000000-0010-0000-0800-000002000000}" name="SERWEROWY Standard" dataDxfId="11"/>
    <tableColumn id="3" xr3:uid="{00000000-0010-0000-0800-000003000000}" name="SERWEROWY Multi" dataDxfId="10"/>
    <tableColumn id="4" xr3:uid="{00000000-0010-0000-0800-000004000000}" name="SERWEROWY WF Standard" dataDxfId="9"/>
    <tableColumn id="5" xr3:uid="{00000000-0010-0000-0800-000005000000}" name="SERWEROWY WF Multi" dataDxfId="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N103"/>
  <sheetViews>
    <sheetView zoomScale="80" zoomScaleNormal="80" workbookViewId="0">
      <selection activeCell="C3" sqref="C3"/>
    </sheetView>
  </sheetViews>
  <sheetFormatPr defaultColWidth="9.109375" defaultRowHeight="14.4" x14ac:dyDescent="0.3"/>
  <cols>
    <col min="1" max="1" width="56.5546875" style="18" customWidth="1"/>
    <col min="2" max="2" width="23.109375" style="18" customWidth="1"/>
    <col min="3" max="3" width="17.5546875" style="18" customWidth="1"/>
    <col min="4" max="4" width="19" style="18" customWidth="1"/>
    <col min="5" max="5" width="20.44140625" style="18" customWidth="1"/>
    <col min="6" max="6" width="12.33203125" style="18" customWidth="1"/>
    <col min="7" max="7" width="18.6640625" style="18" customWidth="1"/>
    <col min="8" max="8" width="12.5546875" style="18" customWidth="1"/>
    <col min="9" max="9" width="9.109375" style="18"/>
    <col min="10" max="10" width="73.44140625" style="18" customWidth="1"/>
    <col min="11" max="16384" width="9.109375" style="18"/>
  </cols>
  <sheetData>
    <row r="1" spans="1:10" ht="78" x14ac:dyDescent="0.3">
      <c r="A1" s="10" t="s">
        <v>7</v>
      </c>
      <c r="B1" s="68" t="s">
        <v>8</v>
      </c>
      <c r="C1" s="11" t="s">
        <v>67</v>
      </c>
      <c r="D1" s="11" t="s">
        <v>68</v>
      </c>
      <c r="E1" s="12" t="s">
        <v>95</v>
      </c>
      <c r="F1" s="135" t="s">
        <v>69</v>
      </c>
      <c r="G1" s="13" t="s">
        <v>9</v>
      </c>
      <c r="H1" s="72" t="s">
        <v>18</v>
      </c>
      <c r="J1" s="137" t="s">
        <v>96</v>
      </c>
    </row>
    <row r="2" spans="1:10" ht="15.6" x14ac:dyDescent="0.3">
      <c r="A2" s="185" t="s">
        <v>98</v>
      </c>
      <c r="B2" s="186"/>
      <c r="C2" s="187"/>
      <c r="D2" s="14"/>
      <c r="E2" s="15"/>
      <c r="F2" s="16"/>
      <c r="G2" s="17"/>
      <c r="H2" s="18">
        <f>IF(G28&gt;0,1,0)</f>
        <v>0</v>
      </c>
    </row>
    <row r="3" spans="1:10" ht="15.6" x14ac:dyDescent="0.3">
      <c r="A3" s="136" t="s">
        <v>122</v>
      </c>
      <c r="B3" s="26" t="s">
        <v>150</v>
      </c>
      <c r="C3" s="19">
        <f>VLOOKUP($A3,moduly_podstawowe[],2,FALSE)</f>
        <v>32140</v>
      </c>
      <c r="D3" s="19">
        <f>VLOOKUP($A3,moduly_podstawowe[],3,FALSE)</f>
        <v>33750</v>
      </c>
      <c r="E3" s="20">
        <v>0</v>
      </c>
      <c r="F3" s="20">
        <v>0</v>
      </c>
      <c r="G3" s="21">
        <f>IF(F3=0,C3*E3,IF(OR(AND(E3=0,F3&lt;&gt;0),F3&gt;E3),"błąd",((E3-F3)*C3)+(D3*F3)))</f>
        <v>0</v>
      </c>
      <c r="H3" s="18">
        <f t="shared" ref="H3:H30" si="0">IF(G3&gt;0,1,0)</f>
        <v>0</v>
      </c>
    </row>
    <row r="4" spans="1:10" ht="15.6" x14ac:dyDescent="0.3">
      <c r="A4" s="136" t="s">
        <v>123</v>
      </c>
      <c r="B4" s="26" t="s">
        <v>150</v>
      </c>
      <c r="C4" s="19">
        <f>VLOOKUP($A4,moduly_podstawowe[],2,FALSE)</f>
        <v>7650</v>
      </c>
      <c r="D4" s="19">
        <f>VLOOKUP($A4,moduly_podstawowe[],3,FALSE)</f>
        <v>8030</v>
      </c>
      <c r="E4" s="20">
        <v>0</v>
      </c>
      <c r="F4" s="20">
        <v>0</v>
      </c>
      <c r="G4" s="21">
        <f t="shared" ref="G4:G24" si="1">IF(F4=0,C4*E4,IF(OR(AND(E4=0,F4&lt;&gt;0),F4&gt;E4),"błąd",((E4-F4)*C4)+(D4*F4)))</f>
        <v>0</v>
      </c>
      <c r="H4" s="18">
        <f t="shared" si="0"/>
        <v>0</v>
      </c>
      <c r="J4" s="137"/>
    </row>
    <row r="5" spans="1:10" ht="15.6" x14ac:dyDescent="0.3">
      <c r="A5" s="136" t="s">
        <v>124</v>
      </c>
      <c r="B5" s="26" t="s">
        <v>150</v>
      </c>
      <c r="C5" s="19">
        <f>VLOOKUP($A5,moduly_podstawowe[],2,FALSE)</f>
        <v>32140</v>
      </c>
      <c r="D5" s="19">
        <f>VLOOKUP($A5,moduly_podstawowe[],3,FALSE)</f>
        <v>33750</v>
      </c>
      <c r="E5" s="20">
        <v>0</v>
      </c>
      <c r="F5" s="20">
        <v>0</v>
      </c>
      <c r="G5" s="21">
        <f t="shared" si="1"/>
        <v>0</v>
      </c>
      <c r="H5" s="18">
        <f t="shared" si="0"/>
        <v>0</v>
      </c>
      <c r="J5" s="137"/>
    </row>
    <row r="6" spans="1:10" ht="15.6" x14ac:dyDescent="0.3">
      <c r="A6" s="136" t="s">
        <v>125</v>
      </c>
      <c r="B6" s="26" t="s">
        <v>150</v>
      </c>
      <c r="C6" s="19">
        <f>VLOOKUP($A6,moduly_podstawowe[],2,FALSE)</f>
        <v>14580</v>
      </c>
      <c r="D6" s="19">
        <f>VLOOKUP($A6,moduly_podstawowe[],3,FALSE)</f>
        <v>15300</v>
      </c>
      <c r="E6" s="20">
        <v>0</v>
      </c>
      <c r="F6" s="20">
        <v>0</v>
      </c>
      <c r="G6" s="21">
        <f t="shared" si="1"/>
        <v>0</v>
      </c>
      <c r="H6" s="18">
        <f t="shared" si="0"/>
        <v>0</v>
      </c>
      <c r="J6" s="137"/>
    </row>
    <row r="7" spans="1:10" ht="15.6" x14ac:dyDescent="0.3">
      <c r="A7" s="102" t="s">
        <v>126</v>
      </c>
      <c r="B7" s="26" t="s">
        <v>150</v>
      </c>
      <c r="C7" s="19">
        <f>VLOOKUP($A7,moduly_podstawowe[],2,FALSE)</f>
        <v>22080</v>
      </c>
      <c r="D7" s="19">
        <f>VLOOKUP($A7,moduly_podstawowe[],3,FALSE)</f>
        <v>23180</v>
      </c>
      <c r="E7" s="20">
        <v>0</v>
      </c>
      <c r="F7" s="20">
        <v>0</v>
      </c>
      <c r="G7" s="21">
        <f>IF(F7=0,C7*E7,IF(OR(AND(E7=0,F7&lt;&gt;0),F7&gt;E7),"błąd",((E7-F7)*C7)+(D7*F7)))</f>
        <v>0</v>
      </c>
      <c r="H7" s="18">
        <f t="shared" si="0"/>
        <v>0</v>
      </c>
      <c r="J7" s="137"/>
    </row>
    <row r="8" spans="1:10" ht="15.6" x14ac:dyDescent="0.3">
      <c r="A8" s="136" t="s">
        <v>127</v>
      </c>
      <c r="B8" s="26" t="s">
        <v>150</v>
      </c>
      <c r="C8" s="19">
        <f>VLOOKUP($A8,moduly_podstawowe[],2,FALSE)</f>
        <v>7290</v>
      </c>
      <c r="D8" s="19">
        <f>VLOOKUP($A8,moduly_podstawowe[],3,FALSE)</f>
        <v>7650</v>
      </c>
      <c r="E8" s="20">
        <v>0</v>
      </c>
      <c r="F8" s="20">
        <v>0</v>
      </c>
      <c r="G8" s="21">
        <f>IF(F8=0,C8*E8,IF(OR(AND(E8=0,F8&lt;&gt;0),F8&gt;E8),"błąd",((E8-F8)*C8)+(D8*F8)))</f>
        <v>0</v>
      </c>
      <c r="H8" s="18">
        <f t="shared" si="0"/>
        <v>0</v>
      </c>
      <c r="J8" s="137"/>
    </row>
    <row r="9" spans="1:10" ht="15.6" x14ac:dyDescent="0.3">
      <c r="A9" s="136" t="s">
        <v>128</v>
      </c>
      <c r="B9" s="26" t="s">
        <v>150</v>
      </c>
      <c r="C9" s="19">
        <f>VLOOKUP($A9,moduly_podstawowe[],2,FALSE)</f>
        <v>30610</v>
      </c>
      <c r="D9" s="19">
        <f>VLOOKUP($A9,moduly_podstawowe[],3,FALSE)</f>
        <v>32140</v>
      </c>
      <c r="E9" s="20">
        <v>0</v>
      </c>
      <c r="F9" s="20">
        <v>0</v>
      </c>
      <c r="G9" s="21">
        <f>IF(AND((E8+F8&gt;0),(E9+F9&gt;0)),"usuń Faktury",IF(F9=0,C9*E9,IF(OR(AND(E9=0,F9&lt;&gt;0),F9&gt;E9),"błąd",((E9-F9)*C9)+(D9*F9))))</f>
        <v>0</v>
      </c>
      <c r="H9" s="18">
        <f t="shared" si="0"/>
        <v>0</v>
      </c>
      <c r="J9" s="139" t="str">
        <f>IF(G9="usuń Faktury","Faktur i Handlu nie można łączyć w ramach jednej licencji"," ")</f>
        <v xml:space="preserve"> </v>
      </c>
    </row>
    <row r="10" spans="1:10" ht="15.6" x14ac:dyDescent="0.3">
      <c r="A10" s="49" t="s">
        <v>129</v>
      </c>
      <c r="B10" s="26" t="s">
        <v>150</v>
      </c>
      <c r="C10" s="19">
        <f>VLOOKUP($A10,moduly_podstawowe[],2,FALSE)</f>
        <v>7370</v>
      </c>
      <c r="D10" s="19">
        <f>VLOOKUP($A10,moduly_podstawowe[],3,FALSE)</f>
        <v>7730</v>
      </c>
      <c r="E10" s="20">
        <v>0</v>
      </c>
      <c r="F10" s="20">
        <v>0</v>
      </c>
      <c r="G10" s="21">
        <f t="shared" si="1"/>
        <v>0</v>
      </c>
      <c r="H10" s="18">
        <f t="shared" si="0"/>
        <v>0</v>
      </c>
      <c r="J10" s="139"/>
    </row>
    <row r="11" spans="1:10" ht="15.6" x14ac:dyDescent="0.3">
      <c r="A11" s="49" t="s">
        <v>130</v>
      </c>
      <c r="B11" s="26" t="s">
        <v>150</v>
      </c>
      <c r="C11" s="19">
        <f>VLOOKUP($A11,moduly_podstawowe[],2,FALSE)</f>
        <v>25590</v>
      </c>
      <c r="D11" s="19">
        <f>VLOOKUP($A11,moduly_podstawowe[],3,FALSE)</f>
        <v>29430</v>
      </c>
      <c r="E11" s="20">
        <v>0</v>
      </c>
      <c r="F11" s="20">
        <v>0</v>
      </c>
      <c r="G11" s="21">
        <f t="shared" si="1"/>
        <v>0</v>
      </c>
      <c r="H11" s="18">
        <f t="shared" si="0"/>
        <v>0</v>
      </c>
    </row>
    <row r="12" spans="1:10" ht="15.6" x14ac:dyDescent="0.3">
      <c r="A12" s="136" t="s">
        <v>131</v>
      </c>
      <c r="B12" s="26" t="s">
        <v>150</v>
      </c>
      <c r="C12" s="19">
        <f>VLOOKUP($A12,moduly_podstawowe[],2,FALSE)</f>
        <v>22525</v>
      </c>
      <c r="D12" s="19">
        <f>VLOOKUP($A12,moduly_podstawowe[],3,FALSE)</f>
        <v>23650</v>
      </c>
      <c r="E12" s="20">
        <v>0</v>
      </c>
      <c r="F12" s="20">
        <v>0</v>
      </c>
      <c r="G12" s="21">
        <f t="shared" si="1"/>
        <v>0</v>
      </c>
      <c r="H12" s="18">
        <f t="shared" si="0"/>
        <v>0</v>
      </c>
      <c r="J12" s="163" t="str">
        <f>IF(E12+F12&gt;0,"zawiera pełną funcjonalność e-mail"," ")</f>
        <v xml:space="preserve"> </v>
      </c>
    </row>
    <row r="13" spans="1:10" ht="15.6" x14ac:dyDescent="0.3">
      <c r="A13" s="136" t="s">
        <v>132</v>
      </c>
      <c r="B13" s="26" t="s">
        <v>150</v>
      </c>
      <c r="C13" s="19">
        <f>VLOOKUP($A13,moduly_podstawowe[],2,FALSE)</f>
        <v>7370</v>
      </c>
      <c r="D13" s="19">
        <f>VLOOKUP($A13,moduly_podstawowe[],3,FALSE)</f>
        <v>7730</v>
      </c>
      <c r="E13" s="20">
        <v>0</v>
      </c>
      <c r="F13" s="20">
        <v>0</v>
      </c>
      <c r="G13" s="21">
        <f t="shared" si="1"/>
        <v>0</v>
      </c>
      <c r="H13" s="18">
        <f>IF(G13&gt;0,1,0)</f>
        <v>0</v>
      </c>
      <c r="J13" s="137"/>
    </row>
    <row r="14" spans="1:10" ht="15.6" x14ac:dyDescent="0.3">
      <c r="A14" s="136" t="s">
        <v>133</v>
      </c>
      <c r="B14" s="26" t="s">
        <v>150</v>
      </c>
      <c r="C14" s="19">
        <f>VLOOKUP($A14,moduly_podstawowe[],2,FALSE)</f>
        <v>7370</v>
      </c>
      <c r="D14" s="19">
        <f>VLOOKUP($A14,moduly_podstawowe[],3,FALSE)</f>
        <v>7730</v>
      </c>
      <c r="E14" s="20">
        <v>0</v>
      </c>
      <c r="F14" s="20">
        <v>0</v>
      </c>
      <c r="G14" s="21">
        <f t="shared" si="1"/>
        <v>0</v>
      </c>
      <c r="H14" s="18">
        <f t="shared" si="0"/>
        <v>0</v>
      </c>
    </row>
    <row r="15" spans="1:10" ht="15.6" x14ac:dyDescent="0.3">
      <c r="A15" s="136" t="s">
        <v>134</v>
      </c>
      <c r="B15" s="26" t="s">
        <v>150</v>
      </c>
      <c r="C15" s="19">
        <f>VLOOKUP($A15,moduly_podstawowe[],2,FALSE)</f>
        <v>7370</v>
      </c>
      <c r="D15" s="19">
        <f>VLOOKUP($A15,moduly_podstawowe[],3,FALSE)</f>
        <v>7730</v>
      </c>
      <c r="E15" s="20">
        <v>0</v>
      </c>
      <c r="F15" s="20">
        <v>0</v>
      </c>
      <c r="G15" s="21">
        <f t="shared" si="1"/>
        <v>0</v>
      </c>
      <c r="H15" s="18">
        <f t="shared" si="0"/>
        <v>0</v>
      </c>
    </row>
    <row r="16" spans="1:10" ht="15.6" x14ac:dyDescent="0.3">
      <c r="A16" s="136" t="s">
        <v>135</v>
      </c>
      <c r="B16" s="26" t="s">
        <v>150</v>
      </c>
      <c r="C16" s="19">
        <f>VLOOKUP($A16,moduly_podstawowe[],2,FALSE)</f>
        <v>7370</v>
      </c>
      <c r="D16" s="19">
        <f>VLOOKUP($A16,moduly_podstawowe[],3,FALSE)</f>
        <v>7730</v>
      </c>
      <c r="E16" s="20">
        <v>0</v>
      </c>
      <c r="F16" s="20">
        <v>0</v>
      </c>
      <c r="G16" s="21">
        <f t="shared" si="1"/>
        <v>0</v>
      </c>
      <c r="H16" s="18">
        <f>IF(G16&gt;0,1,0)</f>
        <v>0</v>
      </c>
    </row>
    <row r="17" spans="1:10" ht="15.6" x14ac:dyDescent="0.3">
      <c r="A17" s="136" t="s">
        <v>136</v>
      </c>
      <c r="B17" s="26" t="s">
        <v>150</v>
      </c>
      <c r="C17" s="19">
        <f>VLOOKUP($A17,moduly_podstawowe[],2,FALSE)</f>
        <v>29430</v>
      </c>
      <c r="D17" s="19">
        <f>VLOOKUP($A17,moduly_podstawowe[],3,FALSE)</f>
        <v>30900</v>
      </c>
      <c r="E17" s="20">
        <v>0</v>
      </c>
      <c r="F17" s="20">
        <v>0</v>
      </c>
      <c r="G17" s="21">
        <f t="shared" si="1"/>
        <v>0</v>
      </c>
      <c r="H17" s="18">
        <f t="shared" si="0"/>
        <v>0</v>
      </c>
      <c r="J17" s="169" t="str">
        <f>IF(E17+F17&gt;0,"zawiera pełną funcjonalność CRM oraz e-mail"," ")</f>
        <v xml:space="preserve"> </v>
      </c>
    </row>
    <row r="18" spans="1:10" ht="15.6" x14ac:dyDescent="0.3">
      <c r="A18" s="136" t="s">
        <v>175</v>
      </c>
      <c r="B18" s="26" t="s">
        <v>150</v>
      </c>
      <c r="C18" s="19">
        <f>VLOOKUP($A18,moduly_podstawowe[],2,FALSE)</f>
        <v>20800</v>
      </c>
      <c r="D18" s="19">
        <f>VLOOKUP($A18,moduly_podstawowe[],3,FALSE)</f>
        <v>23920</v>
      </c>
      <c r="E18" s="20">
        <v>0</v>
      </c>
      <c r="F18" s="20">
        <v>0</v>
      </c>
      <c r="G18" s="21">
        <f t="shared" si="1"/>
        <v>0</v>
      </c>
      <c r="H18" s="18">
        <f t="shared" si="0"/>
        <v>0</v>
      </c>
    </row>
    <row r="19" spans="1:10" ht="15.6" x14ac:dyDescent="0.3">
      <c r="A19" s="136" t="s">
        <v>176</v>
      </c>
      <c r="B19" s="26" t="s">
        <v>150</v>
      </c>
      <c r="C19" s="19">
        <f>VLOOKUP($A19,moduly_podstawowe[],2,FALSE)</f>
        <v>6950</v>
      </c>
      <c r="D19" s="19">
        <f>VLOOKUP($A19,moduly_podstawowe[],3,FALSE)</f>
        <v>7290</v>
      </c>
      <c r="E19" s="20">
        <v>0</v>
      </c>
      <c r="F19" s="20">
        <v>0</v>
      </c>
      <c r="G19" s="21">
        <f t="shared" si="1"/>
        <v>0</v>
      </c>
      <c r="H19" s="18">
        <f t="shared" si="0"/>
        <v>0</v>
      </c>
    </row>
    <row r="20" spans="1:10" ht="15.6" x14ac:dyDescent="0.3">
      <c r="A20" s="49" t="s">
        <v>137</v>
      </c>
      <c r="B20" s="26" t="s">
        <v>150</v>
      </c>
      <c r="C20" s="19">
        <f>VLOOKUP($A20,moduly_podstawowe[],2,FALSE)</f>
        <v>21870</v>
      </c>
      <c r="D20" s="19">
        <f>VLOOKUP($A20,moduly_podstawowe[],3,FALSE)</f>
        <v>22960</v>
      </c>
      <c r="E20" s="20">
        <v>0</v>
      </c>
      <c r="F20" s="20">
        <v>0</v>
      </c>
      <c r="G20" s="21">
        <f t="shared" si="1"/>
        <v>0</v>
      </c>
      <c r="H20" s="18">
        <f t="shared" si="0"/>
        <v>0</v>
      </c>
      <c r="J20" s="137"/>
    </row>
    <row r="21" spans="1:10" ht="15.6" x14ac:dyDescent="0.3">
      <c r="A21" s="49" t="s">
        <v>138</v>
      </c>
      <c r="B21" s="26" t="s">
        <v>150</v>
      </c>
      <c r="C21" s="19">
        <f>VLOOKUP($A21,moduly_podstawowe[],2,FALSE)</f>
        <v>7290</v>
      </c>
      <c r="D21" s="19">
        <f>VLOOKUP($A21,moduly_podstawowe[],3,FALSE)</f>
        <v>7650</v>
      </c>
      <c r="E21" s="20">
        <v>0</v>
      </c>
      <c r="F21" s="20">
        <v>0</v>
      </c>
      <c r="G21" s="21">
        <f t="shared" si="1"/>
        <v>0</v>
      </c>
      <c r="H21" s="18">
        <f>IF(G21&gt;0,1,0)</f>
        <v>0</v>
      </c>
    </row>
    <row r="22" spans="1:10" ht="15.6" x14ac:dyDescent="0.3">
      <c r="A22" s="49" t="s">
        <v>139</v>
      </c>
      <c r="B22" s="26" t="s">
        <v>150</v>
      </c>
      <c r="C22" s="19">
        <f>VLOOKUP($A22,moduly_podstawowe[],2,FALSE)</f>
        <v>7370</v>
      </c>
      <c r="D22" s="19">
        <f>VLOOKUP($A22,moduly_podstawowe[],3,FALSE)</f>
        <v>7730</v>
      </c>
      <c r="E22" s="20">
        <v>0</v>
      </c>
      <c r="F22" s="20">
        <v>0</v>
      </c>
      <c r="G22" s="21">
        <f t="shared" si="1"/>
        <v>0</v>
      </c>
      <c r="H22" s="18">
        <f t="shared" si="0"/>
        <v>0</v>
      </c>
      <c r="J22" s="139" t="str">
        <f>IF(F22&gt;0,"jeżeli planujemy korzystać z Poglądu multi to na licencji musi być min. 1 st. multi w ramach poglądanego modułu"," ")</f>
        <v xml:space="preserve"> </v>
      </c>
    </row>
    <row r="23" spans="1:10" ht="15.6" x14ac:dyDescent="0.3">
      <c r="A23" s="136" t="s">
        <v>140</v>
      </c>
      <c r="B23" s="26" t="s">
        <v>150</v>
      </c>
      <c r="C23" s="19">
        <f>VLOOKUP($A23,moduly_podstawowe[],2,FALSE)</f>
        <v>14720</v>
      </c>
      <c r="D23" s="19">
        <f>VLOOKUP($A23,moduly_podstawowe[],3,FALSE)</f>
        <v>15450</v>
      </c>
      <c r="E23" s="20">
        <v>0</v>
      </c>
      <c r="F23" s="20">
        <v>0</v>
      </c>
      <c r="G23" s="21">
        <f t="shared" si="1"/>
        <v>0</v>
      </c>
      <c r="H23" s="18">
        <f>IF(G23&gt;0,1,0)</f>
        <v>0</v>
      </c>
    </row>
    <row r="24" spans="1:10" ht="15.6" x14ac:dyDescent="0.3">
      <c r="A24" s="136" t="s">
        <v>141</v>
      </c>
      <c r="B24" s="26" t="s">
        <v>150</v>
      </c>
      <c r="C24" s="19">
        <f>VLOOKUP($A24,moduly_podstawowe[],2,FALSE)</f>
        <v>7370</v>
      </c>
      <c r="D24" s="19">
        <f>VLOOKUP($A24,moduly_podstawowe[],3,FALSE)</f>
        <v>7730</v>
      </c>
      <c r="E24" s="20">
        <v>0</v>
      </c>
      <c r="F24" s="20">
        <v>0</v>
      </c>
      <c r="G24" s="21">
        <f t="shared" si="1"/>
        <v>0</v>
      </c>
      <c r="H24" s="18">
        <f>IF(G24&gt;0,1,0)</f>
        <v>0</v>
      </c>
      <c r="J24" s="138"/>
    </row>
    <row r="25" spans="1:10" ht="15.6" x14ac:dyDescent="0.3">
      <c r="A25" s="49" t="s">
        <v>142</v>
      </c>
      <c r="B25" s="26" t="s">
        <v>150</v>
      </c>
      <c r="C25" s="19">
        <f>VLOOKUP($A25,moduly_podstawowe[],2,FALSE)</f>
        <v>7370</v>
      </c>
      <c r="D25" s="19">
        <f>VLOOKUP($A25,moduly_podstawowe[],3,FALSE)</f>
        <v>7730</v>
      </c>
      <c r="E25" s="20">
        <v>0</v>
      </c>
      <c r="F25" s="20">
        <v>0</v>
      </c>
      <c r="G25" s="21">
        <f>IF(F25=0,C25*E25,IF(OR(AND(E25=0,F25&lt;&gt;0),F25&gt;E25),"błąd",((E25-F25)*C25)+(D25*F25)))</f>
        <v>0</v>
      </c>
      <c r="H25" s="18">
        <f>IF(G25&gt;0,1,0)</f>
        <v>0</v>
      </c>
      <c r="J25" s="138"/>
    </row>
    <row r="26" spans="1:10" ht="15.6" x14ac:dyDescent="0.3">
      <c r="A26" s="156" t="s">
        <v>167</v>
      </c>
      <c r="B26" s="26" t="s">
        <v>150</v>
      </c>
      <c r="C26" s="22" t="str">
        <f>VLOOKUP($A26,moduly_podstawowe[],2,FALSE)</f>
        <v>niedostępny</v>
      </c>
      <c r="D26" s="19">
        <f>VLOOKUP($A26,moduly_podstawowe[],3,FALSE)</f>
        <v>7350</v>
      </c>
      <c r="E26" s="158">
        <v>0</v>
      </c>
      <c r="F26" s="155">
        <v>0</v>
      </c>
      <c r="G26" s="21">
        <f>IF(E26=0,D26*F26,IF(OR(AND(F26=0,E26&lt;&gt;0),E26&gt;F26),"błąd"))</f>
        <v>0</v>
      </c>
      <c r="H26" s="18">
        <f t="shared" si="0"/>
        <v>0</v>
      </c>
      <c r="J26" s="139" t="str">
        <f>IF(G26="błąd","niedostępne w wersji okienkowej"," ")</f>
        <v xml:space="preserve"> </v>
      </c>
    </row>
    <row r="27" spans="1:10" ht="15.6" x14ac:dyDescent="0.3">
      <c r="A27" s="151" t="s">
        <v>165</v>
      </c>
      <c r="B27" s="26" t="s">
        <v>150</v>
      </c>
      <c r="C27" s="22">
        <f>VLOOKUP($A27,moduly_podstawowe[],2,FALSE)</f>
        <v>8320</v>
      </c>
      <c r="D27" s="19">
        <f>VLOOKUP($A27,moduly_podstawowe[],3,FALSE)</f>
        <v>8320</v>
      </c>
      <c r="E27" s="20">
        <v>0</v>
      </c>
      <c r="F27" s="155">
        <v>0</v>
      </c>
      <c r="G27" s="21">
        <f>IF(F27=0,C27*E27,IF(OR(AND(E27=0,F27&lt;&gt;0),F27&gt;E27),"błąd",((E27-F27)*C27)+(D27*F27)))</f>
        <v>0</v>
      </c>
      <c r="H27" s="18">
        <f t="shared" si="0"/>
        <v>0</v>
      </c>
      <c r="J27" s="139"/>
    </row>
    <row r="28" spans="1:10" ht="15.6" x14ac:dyDescent="0.3">
      <c r="A28" s="79" t="s">
        <v>19</v>
      </c>
      <c r="B28" s="50"/>
      <c r="C28" s="144"/>
      <c r="D28" s="144"/>
      <c r="E28" s="50"/>
      <c r="F28" s="146"/>
      <c r="G28" s="33">
        <f>SUM(G3:G27)</f>
        <v>0</v>
      </c>
      <c r="H28" s="18">
        <f t="shared" si="0"/>
        <v>0</v>
      </c>
    </row>
    <row r="29" spans="1:10" ht="31.2" x14ac:dyDescent="0.3">
      <c r="A29" s="81"/>
      <c r="B29" s="82"/>
      <c r="C29" s="145" t="s">
        <v>144</v>
      </c>
      <c r="D29" s="145" t="s">
        <v>145</v>
      </c>
      <c r="E29" s="191" t="s">
        <v>164</v>
      </c>
      <c r="F29" s="179"/>
      <c r="G29" s="41"/>
      <c r="H29" s="18">
        <v>0</v>
      </c>
    </row>
    <row r="30" spans="1:10" ht="44.25" customHeight="1" x14ac:dyDescent="0.3">
      <c r="A30" s="149" t="s">
        <v>146</v>
      </c>
      <c r="B30" s="128" t="s">
        <v>147</v>
      </c>
      <c r="C30" s="19">
        <f>VLOOKUP($A30,user[],2,FALSE)</f>
        <v>3180</v>
      </c>
      <c r="D30" s="19">
        <f>VLOOKUP($A30,user[],3,FALSE)</f>
        <v>3660</v>
      </c>
      <c r="E30" s="192">
        <v>0</v>
      </c>
      <c r="F30" s="193"/>
      <c r="G30" s="21">
        <f>IF(SUM(F3:F27)&gt;0,E30*D30,E30*C30)</f>
        <v>0</v>
      </c>
      <c r="H30" s="18">
        <f t="shared" si="0"/>
        <v>0</v>
      </c>
      <c r="J30" s="139" t="str">
        <f>IF(AND(E30&lt;25,E30&gt;0),"przy pierwszym zakupie min. 25 stanowisk","")</f>
        <v/>
      </c>
    </row>
    <row r="31" spans="1:10" customFormat="1" ht="15.6" x14ac:dyDescent="0.3">
      <c r="A31" s="188" t="s">
        <v>97</v>
      </c>
      <c r="B31" s="189"/>
      <c r="C31" s="190"/>
      <c r="D31" s="27"/>
      <c r="E31" s="107"/>
      <c r="F31" s="108"/>
      <c r="G31" s="103"/>
      <c r="H31" s="90">
        <f>H33</f>
        <v>0</v>
      </c>
    </row>
    <row r="32" spans="1:10" customFormat="1" ht="15.6" x14ac:dyDescent="0.3">
      <c r="A32" s="104" t="s">
        <v>143</v>
      </c>
      <c r="B32" s="20" t="s">
        <v>5</v>
      </c>
      <c r="C32" s="19"/>
      <c r="D32" s="19" t="str">
        <f>IFERROR(VLOOKUP(E30,'Cennik enova365'!$A$123:$D$124,2,TRUE)," ")</f>
        <v xml:space="preserve"> </v>
      </c>
      <c r="E32" s="20" t="s">
        <v>4</v>
      </c>
      <c r="F32" s="28"/>
      <c r="G32" s="21">
        <f>IF(E32="TAK",D32,0)</f>
        <v>0</v>
      </c>
      <c r="H32" s="90">
        <f t="shared" ref="H32:H33" si="2">IF(G32&gt;0,1,0)</f>
        <v>0</v>
      </c>
    </row>
    <row r="33" spans="1:14" customFormat="1" ht="15.6" x14ac:dyDescent="0.3">
      <c r="A33" s="91" t="s">
        <v>72</v>
      </c>
      <c r="B33" s="106"/>
      <c r="C33" s="92"/>
      <c r="D33" s="92"/>
      <c r="E33" s="93"/>
      <c r="F33" s="94"/>
      <c r="G33" s="23">
        <f>SUM(G32:G32)</f>
        <v>0</v>
      </c>
      <c r="H33" s="90">
        <f t="shared" si="2"/>
        <v>0</v>
      </c>
    </row>
    <row r="34" spans="1:14" ht="47.25" customHeight="1" x14ac:dyDescent="0.3">
      <c r="A34" s="177" t="s">
        <v>99</v>
      </c>
      <c r="B34" s="178"/>
      <c r="C34" s="179"/>
      <c r="D34" s="69" t="s">
        <v>63</v>
      </c>
      <c r="E34" s="82"/>
      <c r="F34" s="40"/>
      <c r="G34" s="70"/>
      <c r="H34" s="18">
        <f>H62</f>
        <v>0</v>
      </c>
    </row>
    <row r="35" spans="1:14" ht="15.6" x14ac:dyDescent="0.3">
      <c r="A35" s="180" t="s">
        <v>76</v>
      </c>
      <c r="B35" s="181"/>
      <c r="C35" s="182"/>
      <c r="D35" s="22">
        <f>'Cennik enova365'!B38</f>
        <v>3770</v>
      </c>
      <c r="E35" s="20" t="s">
        <v>4</v>
      </c>
      <c r="F35" s="28"/>
      <c r="G35" s="21">
        <v>0</v>
      </c>
      <c r="H35" s="18">
        <f>IF(E35="TAK",1,0)</f>
        <v>0</v>
      </c>
      <c r="I35" s="184"/>
      <c r="J35" s="184"/>
      <c r="K35" s="184"/>
      <c r="L35" s="184"/>
      <c r="M35" s="184"/>
      <c r="N35" s="184"/>
    </row>
    <row r="36" spans="1:14" ht="15.6" x14ac:dyDescent="0.3">
      <c r="A36" s="180" t="s">
        <v>38</v>
      </c>
      <c r="B36" s="181"/>
      <c r="C36" s="182"/>
      <c r="D36" s="22">
        <f>'Cennik enova365'!B39</f>
        <v>3770</v>
      </c>
      <c r="E36" s="20" t="s">
        <v>4</v>
      </c>
      <c r="F36" s="28"/>
      <c r="G36" s="21">
        <v>0</v>
      </c>
      <c r="H36" s="18">
        <f t="shared" ref="H36:H61" si="3">IF(E36="TAK",1,0)</f>
        <v>0</v>
      </c>
    </row>
    <row r="37" spans="1:14" ht="15.6" x14ac:dyDescent="0.3">
      <c r="A37" s="180" t="s">
        <v>77</v>
      </c>
      <c r="B37" s="181"/>
      <c r="C37" s="182"/>
      <c r="D37" s="22">
        <f>'Cennik enova365'!B40</f>
        <v>11400</v>
      </c>
      <c r="E37" s="20" t="s">
        <v>4</v>
      </c>
      <c r="F37" s="28"/>
      <c r="G37" s="21">
        <v>0</v>
      </c>
      <c r="H37" s="18">
        <f t="shared" si="3"/>
        <v>0</v>
      </c>
    </row>
    <row r="38" spans="1:14" ht="15.6" x14ac:dyDescent="0.3">
      <c r="A38" s="180" t="s">
        <v>78</v>
      </c>
      <c r="B38" s="181"/>
      <c r="C38" s="182"/>
      <c r="D38" s="22">
        <f>'Cennik enova365'!B41</f>
        <v>1060</v>
      </c>
      <c r="E38" s="20" t="s">
        <v>4</v>
      </c>
      <c r="F38" s="28"/>
      <c r="G38" s="21">
        <v>0</v>
      </c>
      <c r="H38" s="18">
        <f t="shared" si="3"/>
        <v>0</v>
      </c>
    </row>
    <row r="39" spans="1:14" ht="15.6" x14ac:dyDescent="0.3">
      <c r="A39" s="180" t="s">
        <v>39</v>
      </c>
      <c r="B39" s="181"/>
      <c r="C39" s="182"/>
      <c r="D39" s="22">
        <f>'Cennik enova365'!B42</f>
        <v>3020</v>
      </c>
      <c r="E39" s="20" t="s">
        <v>4</v>
      </c>
      <c r="F39" s="28"/>
      <c r="G39" s="21">
        <v>0</v>
      </c>
      <c r="H39" s="18">
        <f t="shared" si="3"/>
        <v>0</v>
      </c>
    </row>
    <row r="40" spans="1:14" ht="15.6" x14ac:dyDescent="0.3">
      <c r="A40" s="180" t="s">
        <v>79</v>
      </c>
      <c r="B40" s="181"/>
      <c r="C40" s="182"/>
      <c r="D40" s="22">
        <f>'Cennik enova365'!B43</f>
        <v>3020</v>
      </c>
      <c r="E40" s="20" t="s">
        <v>4</v>
      </c>
      <c r="F40" s="28"/>
      <c r="G40" s="21">
        <v>0</v>
      </c>
      <c r="H40" s="18">
        <f t="shared" si="3"/>
        <v>0</v>
      </c>
    </row>
    <row r="41" spans="1:14" ht="15.6" x14ac:dyDescent="0.3">
      <c r="A41" s="180" t="s">
        <v>75</v>
      </c>
      <c r="B41" s="181"/>
      <c r="C41" s="182"/>
      <c r="D41" s="22">
        <f>'Cennik enova365'!B44</f>
        <v>2270</v>
      </c>
      <c r="E41" s="20" t="s">
        <v>4</v>
      </c>
      <c r="F41" s="28"/>
      <c r="G41" s="21">
        <v>0</v>
      </c>
      <c r="H41" s="18">
        <f t="shared" si="3"/>
        <v>0</v>
      </c>
    </row>
    <row r="42" spans="1:14" ht="15.6" x14ac:dyDescent="0.3">
      <c r="A42" s="180" t="s">
        <v>152</v>
      </c>
      <c r="B42" s="181"/>
      <c r="C42" s="182"/>
      <c r="D42" s="22">
        <f>'Cennik enova365'!B45</f>
        <v>6520</v>
      </c>
      <c r="E42" s="20" t="s">
        <v>4</v>
      </c>
      <c r="F42" s="28"/>
      <c r="G42" s="21">
        <v>0</v>
      </c>
      <c r="H42" s="18">
        <f t="shared" si="3"/>
        <v>0</v>
      </c>
    </row>
    <row r="43" spans="1:14" ht="15.6" x14ac:dyDescent="0.3">
      <c r="A43" s="180" t="s">
        <v>111</v>
      </c>
      <c r="B43" s="181"/>
      <c r="C43" s="182"/>
      <c r="D43" s="22">
        <f>'Cennik enova365'!B46</f>
        <v>1360</v>
      </c>
      <c r="E43" s="20" t="s">
        <v>4</v>
      </c>
      <c r="F43" s="28"/>
      <c r="G43" s="21">
        <v>0</v>
      </c>
      <c r="H43" s="18">
        <f t="shared" si="3"/>
        <v>0</v>
      </c>
    </row>
    <row r="44" spans="1:14" ht="15.6" x14ac:dyDescent="0.3">
      <c r="A44" s="180" t="s">
        <v>174</v>
      </c>
      <c r="B44" s="181"/>
      <c r="C44" s="182"/>
      <c r="D44" s="22">
        <f>'Cennik enova365'!B47</f>
        <v>3640</v>
      </c>
      <c r="E44" s="20" t="s">
        <v>4</v>
      </c>
      <c r="F44" s="28"/>
      <c r="G44" s="21">
        <v>0</v>
      </c>
      <c r="H44" s="18">
        <f t="shared" si="3"/>
        <v>0</v>
      </c>
    </row>
    <row r="45" spans="1:14" ht="15.6" x14ac:dyDescent="0.3">
      <c r="A45" s="180" t="s">
        <v>70</v>
      </c>
      <c r="B45" s="181"/>
      <c r="C45" s="182"/>
      <c r="D45" s="22">
        <f>'Cennik enova365'!B48</f>
        <v>3770</v>
      </c>
      <c r="E45" s="20" t="s">
        <v>4</v>
      </c>
      <c r="F45" s="28"/>
      <c r="G45" s="21">
        <v>0</v>
      </c>
      <c r="H45" s="18">
        <f t="shared" si="3"/>
        <v>0</v>
      </c>
    </row>
    <row r="46" spans="1:14" ht="15.6" x14ac:dyDescent="0.3">
      <c r="A46" s="180" t="s">
        <v>33</v>
      </c>
      <c r="B46" s="181"/>
      <c r="C46" s="182"/>
      <c r="D46" s="22">
        <f>'Cennik enova365'!B49</f>
        <v>3020</v>
      </c>
      <c r="E46" s="20" t="s">
        <v>4</v>
      </c>
      <c r="F46" s="28"/>
      <c r="G46" s="21">
        <v>0</v>
      </c>
      <c r="H46" s="18">
        <f t="shared" si="3"/>
        <v>0</v>
      </c>
    </row>
    <row r="47" spans="1:14" ht="15.6" x14ac:dyDescent="0.3">
      <c r="A47" s="180" t="s">
        <v>34</v>
      </c>
      <c r="B47" s="181"/>
      <c r="C47" s="182"/>
      <c r="D47" s="22">
        <f>'Cennik enova365'!B50</f>
        <v>3330</v>
      </c>
      <c r="E47" s="20" t="s">
        <v>4</v>
      </c>
      <c r="F47" s="28"/>
      <c r="G47" s="21">
        <v>0</v>
      </c>
      <c r="H47" s="18">
        <f t="shared" si="3"/>
        <v>0</v>
      </c>
    </row>
    <row r="48" spans="1:14" ht="15.6" x14ac:dyDescent="0.3">
      <c r="A48" s="180" t="s">
        <v>35</v>
      </c>
      <c r="B48" s="181"/>
      <c r="C48" s="182"/>
      <c r="D48" s="22">
        <f>'Cennik enova365'!B51</f>
        <v>3770</v>
      </c>
      <c r="E48" s="20" t="s">
        <v>4</v>
      </c>
      <c r="F48" s="28"/>
      <c r="G48" s="21">
        <v>0</v>
      </c>
      <c r="H48" s="18">
        <f t="shared" si="3"/>
        <v>0</v>
      </c>
    </row>
    <row r="49" spans="1:10" ht="15.6" x14ac:dyDescent="0.3">
      <c r="A49" s="180" t="s">
        <v>36</v>
      </c>
      <c r="B49" s="181"/>
      <c r="C49" s="182"/>
      <c r="D49" s="22">
        <f>'Cennik enova365'!B52</f>
        <v>2270</v>
      </c>
      <c r="E49" s="20" t="s">
        <v>4</v>
      </c>
      <c r="F49" s="28"/>
      <c r="G49" s="21">
        <v>0</v>
      </c>
      <c r="H49" s="18">
        <f t="shared" si="3"/>
        <v>0</v>
      </c>
    </row>
    <row r="50" spans="1:10" ht="15.6" x14ac:dyDescent="0.3">
      <c r="A50" s="180" t="s">
        <v>37</v>
      </c>
      <c r="B50" s="181"/>
      <c r="C50" s="182"/>
      <c r="D50" s="22">
        <f>'Cennik enova365'!B53</f>
        <v>2270</v>
      </c>
      <c r="E50" s="20" t="s">
        <v>4</v>
      </c>
      <c r="F50" s="28"/>
      <c r="G50" s="21">
        <v>0</v>
      </c>
      <c r="H50" s="18">
        <f t="shared" si="3"/>
        <v>0</v>
      </c>
    </row>
    <row r="51" spans="1:10" ht="15.6" x14ac:dyDescent="0.3">
      <c r="A51" s="180" t="s">
        <v>44</v>
      </c>
      <c r="B51" s="181"/>
      <c r="C51" s="182"/>
      <c r="D51" s="22">
        <f>'Cennik enova365'!B54</f>
        <v>1100</v>
      </c>
      <c r="E51" s="20" t="s">
        <v>4</v>
      </c>
      <c r="F51" s="28"/>
      <c r="G51" s="21">
        <v>0</v>
      </c>
      <c r="H51" s="18">
        <f t="shared" si="3"/>
        <v>0</v>
      </c>
    </row>
    <row r="52" spans="1:10" ht="15.6" x14ac:dyDescent="0.3">
      <c r="A52" s="180" t="s">
        <v>80</v>
      </c>
      <c r="B52" s="181"/>
      <c r="C52" s="182"/>
      <c r="D52" s="22">
        <f>'Cennik enova365'!B55</f>
        <v>295</v>
      </c>
      <c r="E52" s="20" t="s">
        <v>4</v>
      </c>
      <c r="F52" s="28"/>
      <c r="G52" s="21">
        <v>0</v>
      </c>
      <c r="H52" s="18">
        <f t="shared" si="3"/>
        <v>0</v>
      </c>
    </row>
    <row r="53" spans="1:10" ht="15.6" x14ac:dyDescent="0.3">
      <c r="A53" s="180" t="s">
        <v>43</v>
      </c>
      <c r="B53" s="181"/>
      <c r="C53" s="182"/>
      <c r="D53" s="22">
        <f>'Cennik enova365'!B56</f>
        <v>3020</v>
      </c>
      <c r="E53" s="20" t="s">
        <v>4</v>
      </c>
      <c r="F53" s="28"/>
      <c r="G53" s="21">
        <v>0</v>
      </c>
      <c r="H53" s="18">
        <f t="shared" si="3"/>
        <v>0</v>
      </c>
    </row>
    <row r="54" spans="1:10" ht="15.6" x14ac:dyDescent="0.3">
      <c r="A54" s="180" t="s">
        <v>93</v>
      </c>
      <c r="B54" s="181"/>
      <c r="C54" s="182"/>
      <c r="D54" s="22">
        <f>'Cennik enova365'!B57</f>
        <v>3670</v>
      </c>
      <c r="E54" s="20" t="s">
        <v>4</v>
      </c>
      <c r="F54" s="28"/>
      <c r="G54" s="21">
        <v>0</v>
      </c>
      <c r="H54" s="18">
        <f t="shared" si="3"/>
        <v>0</v>
      </c>
    </row>
    <row r="55" spans="1:10" ht="15.6" x14ac:dyDescent="0.3">
      <c r="A55" s="180" t="s">
        <v>73</v>
      </c>
      <c r="B55" s="181"/>
      <c r="C55" s="182"/>
      <c r="D55" s="22">
        <f>'Cennik enova365'!B58</f>
        <v>7570</v>
      </c>
      <c r="E55" s="20" t="s">
        <v>4</v>
      </c>
      <c r="F55" s="28"/>
      <c r="G55" s="21">
        <v>0</v>
      </c>
      <c r="H55" s="18">
        <f t="shared" si="3"/>
        <v>0</v>
      </c>
    </row>
    <row r="56" spans="1:10" ht="15.6" x14ac:dyDescent="0.3">
      <c r="A56" s="180" t="s">
        <v>112</v>
      </c>
      <c r="B56" s="181"/>
      <c r="C56" s="182"/>
      <c r="D56" s="22">
        <f>'Cennik enova365'!B59</f>
        <v>2460</v>
      </c>
      <c r="E56" s="20" t="s">
        <v>4</v>
      </c>
      <c r="F56" s="28"/>
      <c r="G56" s="21">
        <v>0</v>
      </c>
      <c r="H56" s="18">
        <f t="shared" si="3"/>
        <v>0</v>
      </c>
    </row>
    <row r="57" spans="1:10" ht="15.6" x14ac:dyDescent="0.3">
      <c r="A57" s="180" t="s">
        <v>41</v>
      </c>
      <c r="B57" s="181"/>
      <c r="C57" s="182"/>
      <c r="D57" s="22">
        <f>'Cennik enova365'!B60</f>
        <v>1360</v>
      </c>
      <c r="E57" s="20" t="s">
        <v>4</v>
      </c>
      <c r="F57" s="28"/>
      <c r="G57" s="21">
        <v>0</v>
      </c>
      <c r="H57" s="18">
        <f t="shared" si="3"/>
        <v>0</v>
      </c>
    </row>
    <row r="58" spans="1:10" ht="15.6" x14ac:dyDescent="0.3">
      <c r="A58" s="180" t="s">
        <v>42</v>
      </c>
      <c r="B58" s="181"/>
      <c r="C58" s="182"/>
      <c r="D58" s="22">
        <f>'Cennik enova365'!B61</f>
        <v>1360</v>
      </c>
      <c r="E58" s="20" t="s">
        <v>4</v>
      </c>
      <c r="F58" s="28"/>
      <c r="G58" s="21">
        <v>0</v>
      </c>
      <c r="H58" s="18">
        <f t="shared" si="3"/>
        <v>0</v>
      </c>
    </row>
    <row r="59" spans="1:10" ht="15.6" x14ac:dyDescent="0.3">
      <c r="A59" s="180" t="s">
        <v>56</v>
      </c>
      <c r="B59" s="181"/>
      <c r="C59" s="182"/>
      <c r="D59" s="22">
        <f>'Cennik enova365'!B62</f>
        <v>3020</v>
      </c>
      <c r="E59" s="20" t="s">
        <v>4</v>
      </c>
      <c r="F59" s="28"/>
      <c r="G59" s="21">
        <v>0</v>
      </c>
      <c r="H59" s="18">
        <f t="shared" si="3"/>
        <v>0</v>
      </c>
    </row>
    <row r="60" spans="1:10" ht="15.6" x14ac:dyDescent="0.3">
      <c r="A60" s="180" t="s">
        <v>172</v>
      </c>
      <c r="B60" s="181"/>
      <c r="C60" s="182"/>
      <c r="D60" s="22">
        <f>'Cennik enova365'!B63</f>
        <v>2770</v>
      </c>
      <c r="E60" s="20" t="s">
        <v>4</v>
      </c>
      <c r="F60" s="28"/>
      <c r="G60" s="21">
        <v>0</v>
      </c>
      <c r="H60" s="18">
        <f t="shared" si="3"/>
        <v>0</v>
      </c>
    </row>
    <row r="61" spans="1:10" ht="15.6" x14ac:dyDescent="0.3">
      <c r="A61" s="180" t="s">
        <v>173</v>
      </c>
      <c r="B61" s="181"/>
      <c r="C61" s="182"/>
      <c r="D61" s="22">
        <f>'Cennik enova365'!B64</f>
        <v>16430</v>
      </c>
      <c r="E61" s="20" t="s">
        <v>4</v>
      </c>
      <c r="F61" s="28"/>
      <c r="G61" s="21">
        <f>IF(E61="TAK",D61,0)</f>
        <v>0</v>
      </c>
      <c r="H61" s="18">
        <f t="shared" si="3"/>
        <v>0</v>
      </c>
      <c r="J61" s="164" t="str">
        <f>IF(E61="TAK","dodatek płatny dla wszystkich wersji kolorystycznych enova365"," ")</f>
        <v xml:space="preserve"> </v>
      </c>
    </row>
    <row r="62" spans="1:10" ht="15.6" x14ac:dyDescent="0.3">
      <c r="A62" s="183" t="s">
        <v>29</v>
      </c>
      <c r="B62" s="172"/>
      <c r="C62" s="173"/>
      <c r="D62" s="51"/>
      <c r="E62" s="50"/>
      <c r="F62" s="52"/>
      <c r="G62" s="33">
        <f>SUM(G35:G61)</f>
        <v>0</v>
      </c>
      <c r="H62" s="18">
        <f>IF(SUM(H35:H59)&gt;0,1,0)</f>
        <v>0</v>
      </c>
    </row>
    <row r="63" spans="1:10" ht="33.6" customHeight="1" x14ac:dyDescent="0.3">
      <c r="A63" s="177" t="s">
        <v>100</v>
      </c>
      <c r="B63" s="178"/>
      <c r="C63" s="179"/>
      <c r="D63" s="42"/>
      <c r="E63" s="82" t="s">
        <v>28</v>
      </c>
      <c r="F63" s="40"/>
      <c r="G63" s="43"/>
      <c r="H63" s="18">
        <f>H64</f>
        <v>0</v>
      </c>
    </row>
    <row r="64" spans="1:10" ht="15.6" x14ac:dyDescent="0.3">
      <c r="A64" s="29" t="s">
        <v>50</v>
      </c>
      <c r="B64" s="26" t="s">
        <v>4</v>
      </c>
      <c r="C64" s="22" t="s">
        <v>27</v>
      </c>
      <c r="D64" s="22"/>
      <c r="E64" s="20">
        <v>0</v>
      </c>
      <c r="F64" s="28"/>
      <c r="G64" s="21">
        <v>0</v>
      </c>
      <c r="H64" s="18">
        <f>IF(B64="TAK",1,0)</f>
        <v>0</v>
      </c>
    </row>
    <row r="65" spans="1:10" ht="15.6" x14ac:dyDescent="0.3">
      <c r="A65" s="79" t="s">
        <v>10</v>
      </c>
      <c r="B65" s="50"/>
      <c r="C65" s="51"/>
      <c r="D65" s="51"/>
      <c r="E65" s="50"/>
      <c r="F65" s="52"/>
      <c r="G65" s="33">
        <f>SUM(G64:G64)</f>
        <v>0</v>
      </c>
      <c r="H65" s="18">
        <f>H64</f>
        <v>0</v>
      </c>
    </row>
    <row r="66" spans="1:10" ht="15.6" x14ac:dyDescent="0.3">
      <c r="A66" s="81" t="s">
        <v>26</v>
      </c>
      <c r="B66" s="82"/>
      <c r="C66" s="82"/>
      <c r="D66" s="82"/>
      <c r="E66" s="82" t="s">
        <v>23</v>
      </c>
      <c r="F66" s="40"/>
      <c r="G66" s="41"/>
      <c r="H66" s="18">
        <f>IF(G74&gt;0,1,0)</f>
        <v>0</v>
      </c>
    </row>
    <row r="67" spans="1:10" ht="15.6" x14ac:dyDescent="0.3">
      <c r="A67" s="29" t="s">
        <v>46</v>
      </c>
      <c r="B67" s="26" t="s">
        <v>4</v>
      </c>
      <c r="C67" s="19">
        <f>IF(E67="do 50 kont",'Cennik enova365'!B73,IF(E67="do 100 kont",'Cennik enova365'!B74,IF(E67="do 200 kont",'Cennik enova365'!B75,IF(E67="do 500 kont",'Cennik enova365'!B76,IF(E67="do 1000 kont",'Cennik enova365'!B77,IF(E67="powyżej 1000 kont",'Cennik enova365'!B78))))))</f>
        <v>4540</v>
      </c>
      <c r="D67" s="19"/>
      <c r="E67" s="20" t="s">
        <v>102</v>
      </c>
      <c r="F67" s="28"/>
      <c r="G67" s="21">
        <f>IF(B67="TAK",C67,0)</f>
        <v>0</v>
      </c>
      <c r="H67" s="18">
        <f t="shared" ref="H67:H74" si="4">IF(G67&gt;0,1,0)</f>
        <v>0</v>
      </c>
    </row>
    <row r="68" spans="1:10" ht="15.6" x14ac:dyDescent="0.3">
      <c r="A68" s="29" t="s">
        <v>21</v>
      </c>
      <c r="B68" s="26" t="s">
        <v>4</v>
      </c>
      <c r="C68" s="19">
        <f>'Cennik enova365'!B79</f>
        <v>305</v>
      </c>
      <c r="D68" s="19"/>
      <c r="E68" s="20">
        <v>0</v>
      </c>
      <c r="F68" s="28"/>
      <c r="G68" s="21">
        <f>IF(B68="TAK",C68*E68,0)</f>
        <v>0</v>
      </c>
      <c r="H68" s="18">
        <f t="shared" si="4"/>
        <v>0</v>
      </c>
    </row>
    <row r="69" spans="1:10" ht="15.6" x14ac:dyDescent="0.3">
      <c r="A69" s="29" t="s">
        <v>57</v>
      </c>
      <c r="B69" s="26" t="s">
        <v>4</v>
      </c>
      <c r="C69" s="19">
        <f>IF(E69="do 50 kont",'Cennik enova365'!B83,IF(E69="do 100 kont",'Cennik enova365'!B84,IF(E69="do 200 kont",'Cennik enova365'!B85,IF(E69="do 500 kont",'Cennik enova365'!B86,IF(E69="do 1000 kont",'Cennik enova365'!B87,IF(E69="powyżej 1000 kont",'Cennik enova365'!B88))))))</f>
        <v>3600</v>
      </c>
      <c r="D69" s="19"/>
      <c r="E69" s="20" t="s">
        <v>102</v>
      </c>
      <c r="F69" s="28"/>
      <c r="G69" s="21">
        <f>IF(B69="TAK",C69,0)</f>
        <v>0</v>
      </c>
      <c r="H69" s="18">
        <f t="shared" si="4"/>
        <v>0</v>
      </c>
    </row>
    <row r="70" spans="1:10" ht="15.6" x14ac:dyDescent="0.3">
      <c r="A70" s="29" t="s">
        <v>58</v>
      </c>
      <c r="B70" s="26" t="s">
        <v>4</v>
      </c>
      <c r="C70" s="19">
        <f>IF(E70="do 50 kont",'Cennik enova365'!B91,IF(E70="do 100 kont",'Cennik enova365'!B92,IF(E70="do 200 kont",'Cennik enova365'!B93,IF(E70="do 500 kont",'Cennik enova365'!B94,IF(E70="do 1000 kont",'Cennik enova365'!B95,IF(E70="powyżej 1000 kont",'Cennik enova365'!B96))))))</f>
        <v>2270</v>
      </c>
      <c r="D70" s="19"/>
      <c r="E70" s="20" t="s">
        <v>102</v>
      </c>
      <c r="F70" s="28"/>
      <c r="G70" s="21">
        <f t="shared" ref="G70:G73" si="5">IF(B70="TAK",C70,0)</f>
        <v>0</v>
      </c>
      <c r="H70" s="18">
        <f t="shared" si="4"/>
        <v>0</v>
      </c>
    </row>
    <row r="71" spans="1:10" ht="15.6" x14ac:dyDescent="0.3">
      <c r="A71" s="29" t="s">
        <v>151</v>
      </c>
      <c r="B71" s="26" t="s">
        <v>4</v>
      </c>
      <c r="C71" s="19">
        <f>IF(E71="do 50 kont",'Cennik enova365'!B107,IF(E71="do 100 kont",'Cennik enova365'!B108,IF(E71="do 200 kont",'Cennik enova365'!B109,IF(E71="do 500 kont",'Cennik enova365'!B110,IF(E71="do 1000 kont",'Cennik enova365'!B111,IF(E71="powyżej 1000 kont",'Cennik enova365'!B112))))))</f>
        <v>1290</v>
      </c>
      <c r="D71" s="19"/>
      <c r="E71" s="20" t="s">
        <v>102</v>
      </c>
      <c r="F71" s="28"/>
      <c r="G71" s="21">
        <f t="shared" si="5"/>
        <v>0</v>
      </c>
      <c r="H71" s="18">
        <f t="shared" si="4"/>
        <v>0</v>
      </c>
    </row>
    <row r="72" spans="1:10" ht="15.6" x14ac:dyDescent="0.3">
      <c r="A72" s="29" t="s">
        <v>166</v>
      </c>
      <c r="B72" s="26" t="s">
        <v>4</v>
      </c>
      <c r="C72" s="19">
        <f>IF(E72="do 50 kont",'Cennik enova365'!B115,IF(E72="do 100 kont",'Cennik enova365'!B116,IF(E72="do 200 kont",'Cennik enova365'!B117,IF(E72="do 500 kont",'Cennik enova365'!B118,IF(E72="do 1000 kont",'Cennik enova365'!B119,IF(E72="powyżej 1000 kont",'Cennik enova365'!B120))))))</f>
        <v>2160</v>
      </c>
      <c r="D72" s="19"/>
      <c r="E72" s="20" t="s">
        <v>102</v>
      </c>
      <c r="F72" s="28"/>
      <c r="G72" s="21">
        <f t="shared" si="5"/>
        <v>0</v>
      </c>
      <c r="H72" s="18">
        <f t="shared" si="4"/>
        <v>0</v>
      </c>
    </row>
    <row r="73" spans="1:10" ht="15.6" x14ac:dyDescent="0.3">
      <c r="A73" s="29" t="s">
        <v>74</v>
      </c>
      <c r="B73" s="26" t="s">
        <v>4</v>
      </c>
      <c r="C73" s="19">
        <f>'Cennik enova365'!B80</f>
        <v>7520</v>
      </c>
      <c r="D73" s="19"/>
      <c r="E73" s="19"/>
      <c r="F73" s="28"/>
      <c r="G73" s="21">
        <f t="shared" si="5"/>
        <v>0</v>
      </c>
      <c r="H73" s="18">
        <f t="shared" si="4"/>
        <v>0</v>
      </c>
    </row>
    <row r="74" spans="1:10" ht="15.6" x14ac:dyDescent="0.3">
      <c r="A74" s="79" t="s">
        <v>22</v>
      </c>
      <c r="B74" s="171"/>
      <c r="C74" s="172"/>
      <c r="D74" s="173"/>
      <c r="E74" s="38"/>
      <c r="F74" s="39"/>
      <c r="G74" s="33">
        <f>SUM(G67:G73)</f>
        <v>0</v>
      </c>
      <c r="H74" s="18">
        <f t="shared" si="4"/>
        <v>0</v>
      </c>
    </row>
    <row r="75" spans="1:10" ht="20.25" customHeight="1" x14ac:dyDescent="0.35">
      <c r="A75" s="59" t="s">
        <v>55</v>
      </c>
      <c r="B75" s="60"/>
      <c r="C75" s="60"/>
      <c r="D75" s="60"/>
      <c r="E75" s="60"/>
      <c r="F75" s="61"/>
      <c r="G75" s="62">
        <f>G28+G30+G62+G65+G33+G74</f>
        <v>0</v>
      </c>
      <c r="H75" s="18">
        <f t="shared" ref="H75:H83" si="6">IF(G75&gt;0,1,0)</f>
        <v>0</v>
      </c>
    </row>
    <row r="76" spans="1:10" s="110" customFormat="1" ht="19.5" customHeight="1" x14ac:dyDescent="0.35">
      <c r="A76" s="63"/>
      <c r="B76" s="84" t="s">
        <v>11</v>
      </c>
      <c r="C76" s="85">
        <v>0</v>
      </c>
      <c r="D76" s="86"/>
      <c r="E76" s="87" t="s">
        <v>4</v>
      </c>
      <c r="F76" s="88"/>
      <c r="G76" s="89">
        <f>IF(E76="TAK",G75*C76,0)</f>
        <v>0</v>
      </c>
      <c r="H76" s="18">
        <f t="shared" si="6"/>
        <v>0</v>
      </c>
    </row>
    <row r="77" spans="1:10" ht="18.75" customHeight="1" x14ac:dyDescent="0.35">
      <c r="A77" s="64"/>
      <c r="B77" s="60" t="s">
        <v>12</v>
      </c>
      <c r="C77" s="132"/>
      <c r="D77" s="132"/>
      <c r="E77" s="133"/>
      <c r="F77" s="133"/>
      <c r="G77" s="134">
        <f>G76</f>
        <v>0</v>
      </c>
      <c r="H77" s="18">
        <f t="shared" si="6"/>
        <v>0</v>
      </c>
    </row>
    <row r="78" spans="1:10" ht="18.75" customHeight="1" x14ac:dyDescent="0.3">
      <c r="A78" s="81" t="s">
        <v>81</v>
      </c>
      <c r="B78" s="24"/>
      <c r="C78" s="27"/>
      <c r="D78" s="27"/>
      <c r="E78" s="95" t="s">
        <v>24</v>
      </c>
      <c r="F78" s="96"/>
      <c r="G78" s="25"/>
      <c r="H78" s="18">
        <f t="shared" si="6"/>
        <v>0</v>
      </c>
    </row>
    <row r="79" spans="1:10" ht="34.200000000000003" customHeight="1" x14ac:dyDescent="0.3">
      <c r="A79" s="29" t="s">
        <v>81</v>
      </c>
      <c r="B79" s="128" t="s">
        <v>4</v>
      </c>
      <c r="C79" s="130">
        <f>IF(E79="5 000 stron rocznie",'Cennik enova365'!B127,IF(E79="10 000 stron rocznie",'Cennik enova365'!B128,IF(E79="15 000 stron rocznie",'Cennik enova365'!B129,IF(E79="20 000 stron rocznie",'Cennik enova365'!B130,IF(E79="25 000 stron rocznie",'Cennik enova365'!B131,IF(E79="30 000 stron rocznie",'Cennik enova365'!B132,IF(E79="35 000 stron rocznie",'Cennik enova365'!B133,IF(E79="40 000 stron rocznie",'Cennik enova365'!B134,IF(E79="45 000 stron rocznie",'Cennik enova365'!B135,IF(E79="50 000 stron rocznie",'Cennik enova365'!B136,IF(E79="55 000 stron rocznie",'Cennik enova365'!B137,IF(E79="60 000 stron rocznie",'Cennik enova365'!B138,IF(E79="powyżej 60 000 stron rocznie",'Cennik enova365'!B139)))))))))))))</f>
        <v>934</v>
      </c>
      <c r="D79" s="19" t="s">
        <v>162</v>
      </c>
      <c r="E79" s="97" t="s">
        <v>87</v>
      </c>
      <c r="F79" s="28"/>
      <c r="G79" s="131">
        <f>IF(B79="TAK",C79,0)</f>
        <v>0</v>
      </c>
      <c r="H79" s="18">
        <f t="shared" si="6"/>
        <v>0</v>
      </c>
      <c r="J79" s="139" t="str">
        <f>IF(B79="TAK","Licencję należy odnowić po roku"," ")</f>
        <v xml:space="preserve"> </v>
      </c>
    </row>
    <row r="80" spans="1:10" ht="18.75" customHeight="1" x14ac:dyDescent="0.3">
      <c r="A80" s="79" t="s">
        <v>86</v>
      </c>
      <c r="B80" s="30"/>
      <c r="C80" s="31"/>
      <c r="D80" s="31"/>
      <c r="E80" s="30"/>
      <c r="F80" s="32"/>
      <c r="G80" s="33">
        <f>SUM(G79:G79)</f>
        <v>0</v>
      </c>
      <c r="H80" s="18">
        <f t="shared" si="6"/>
        <v>0</v>
      </c>
    </row>
    <row r="81" spans="1:10" ht="17.399999999999999" x14ac:dyDescent="0.35">
      <c r="A81" s="44" t="s">
        <v>13</v>
      </c>
      <c r="B81" s="65"/>
      <c r="C81" s="65"/>
      <c r="D81" s="65"/>
      <c r="E81" s="65"/>
      <c r="F81" s="66"/>
      <c r="G81" s="67">
        <f>G75-G77+G80</f>
        <v>0</v>
      </c>
      <c r="H81" s="18">
        <f t="shared" si="6"/>
        <v>0</v>
      </c>
    </row>
    <row r="82" spans="1:10" ht="15.6" x14ac:dyDescent="0.3">
      <c r="A82" s="45" t="s">
        <v>14</v>
      </c>
      <c r="B82" s="46"/>
      <c r="C82" s="46"/>
      <c r="D82" s="46"/>
      <c r="E82" s="46"/>
      <c r="F82" s="47"/>
      <c r="G82" s="48">
        <f>G81*1.23</f>
        <v>0</v>
      </c>
      <c r="H82" s="18">
        <f t="shared" si="6"/>
        <v>0</v>
      </c>
    </row>
    <row r="83" spans="1:10" ht="33" customHeight="1" x14ac:dyDescent="0.3">
      <c r="A83" s="174" t="s">
        <v>82</v>
      </c>
      <c r="B83" s="175"/>
      <c r="C83" s="175"/>
      <c r="D83" s="175"/>
      <c r="E83" s="175"/>
      <c r="F83" s="176"/>
      <c r="G83" s="101">
        <f>((G75)*'Cennik enova365'!G44)</f>
        <v>0</v>
      </c>
      <c r="H83" s="18">
        <f t="shared" si="6"/>
        <v>0</v>
      </c>
    </row>
    <row r="84" spans="1:10" x14ac:dyDescent="0.3">
      <c r="A84" s="34" t="s">
        <v>64</v>
      </c>
      <c r="B84" s="35"/>
      <c r="H84" s="18">
        <v>1</v>
      </c>
    </row>
    <row r="85" spans="1:10" x14ac:dyDescent="0.3">
      <c r="A85" s="34" t="s">
        <v>65</v>
      </c>
      <c r="B85" s="35"/>
      <c r="H85" s="18">
        <v>1</v>
      </c>
    </row>
    <row r="86" spans="1:10" x14ac:dyDescent="0.3">
      <c r="A86" s="36" t="s">
        <v>66</v>
      </c>
      <c r="B86" s="37"/>
      <c r="H86" s="18">
        <v>1</v>
      </c>
    </row>
    <row r="89" spans="1:10" x14ac:dyDescent="0.3">
      <c r="F89" s="98"/>
      <c r="G89" s="98"/>
      <c r="H89" s="98"/>
    </row>
    <row r="90" spans="1:10" x14ac:dyDescent="0.3">
      <c r="F90" s="98"/>
      <c r="G90" s="98"/>
      <c r="H90" s="98"/>
    </row>
    <row r="91" spans="1:10" x14ac:dyDescent="0.3">
      <c r="F91" s="98"/>
      <c r="J91" s="120"/>
    </row>
    <row r="92" spans="1:10" x14ac:dyDescent="0.3">
      <c r="F92" s="98"/>
      <c r="G92" s="121"/>
      <c r="H92" s="122"/>
      <c r="I92" s="120"/>
      <c r="J92" s="123"/>
    </row>
    <row r="93" spans="1:10" x14ac:dyDescent="0.3">
      <c r="F93" s="98"/>
      <c r="G93" s="124"/>
      <c r="H93" s="125"/>
      <c r="I93" s="120"/>
      <c r="J93" s="123"/>
    </row>
    <row r="94" spans="1:10" x14ac:dyDescent="0.3">
      <c r="F94" s="98"/>
      <c r="G94" s="124"/>
      <c r="H94" s="125"/>
      <c r="I94" s="120"/>
      <c r="J94" s="123"/>
    </row>
    <row r="95" spans="1:10" x14ac:dyDescent="0.3">
      <c r="F95" s="98"/>
      <c r="G95" s="124"/>
      <c r="H95" s="125"/>
      <c r="I95" s="120"/>
      <c r="J95" s="123"/>
    </row>
    <row r="96" spans="1:10" x14ac:dyDescent="0.3">
      <c r="F96" s="98"/>
      <c r="G96" s="126"/>
      <c r="H96" s="126"/>
      <c r="I96" s="126"/>
    </row>
    <row r="97" spans="6:8" x14ac:dyDescent="0.3">
      <c r="F97" s="98"/>
      <c r="G97" s="98"/>
      <c r="H97" s="98"/>
    </row>
    <row r="98" spans="6:8" x14ac:dyDescent="0.3">
      <c r="F98" s="98"/>
      <c r="G98" s="98"/>
      <c r="H98" s="98"/>
    </row>
    <row r="99" spans="6:8" x14ac:dyDescent="0.3">
      <c r="F99" s="98"/>
      <c r="G99" s="98"/>
      <c r="H99" s="98"/>
    </row>
    <row r="100" spans="6:8" x14ac:dyDescent="0.3">
      <c r="F100" s="98"/>
      <c r="G100" s="98"/>
      <c r="H100" s="98"/>
    </row>
    <row r="101" spans="6:8" x14ac:dyDescent="0.3">
      <c r="F101" s="98"/>
      <c r="G101" s="98"/>
      <c r="H101" s="98"/>
    </row>
    <row r="102" spans="6:8" x14ac:dyDescent="0.3">
      <c r="F102" s="98"/>
      <c r="G102" s="99"/>
      <c r="H102" s="98"/>
    </row>
    <row r="103" spans="6:8" x14ac:dyDescent="0.3">
      <c r="F103" s="98"/>
      <c r="G103" s="98"/>
      <c r="H103" s="98"/>
    </row>
  </sheetData>
  <autoFilter ref="H1:H86" xr:uid="{00000000-0009-0000-0000-000000000000}">
    <filterColumn colId="0">
      <customFilters>
        <customFilter operator="notEqual" val=" "/>
      </customFilters>
    </filterColumn>
  </autoFilter>
  <mergeCells count="37">
    <mergeCell ref="A44:C44"/>
    <mergeCell ref="I35:N35"/>
    <mergeCell ref="A36:C36"/>
    <mergeCell ref="A43:C43"/>
    <mergeCell ref="A2:C2"/>
    <mergeCell ref="A31:C31"/>
    <mergeCell ref="A34:C34"/>
    <mergeCell ref="A35:C35"/>
    <mergeCell ref="A37:C37"/>
    <mergeCell ref="A38:C38"/>
    <mergeCell ref="A39:C39"/>
    <mergeCell ref="A40:C40"/>
    <mergeCell ref="A41:C41"/>
    <mergeCell ref="A42:C42"/>
    <mergeCell ref="E29:F29"/>
    <mergeCell ref="E30:F30"/>
    <mergeCell ref="A55:C55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B74:D74"/>
    <mergeCell ref="A83:F83"/>
    <mergeCell ref="A63:C63"/>
    <mergeCell ref="A56:C56"/>
    <mergeCell ref="A57:C57"/>
    <mergeCell ref="A58:C58"/>
    <mergeCell ref="A59:C59"/>
    <mergeCell ref="A62:C62"/>
    <mergeCell ref="A60:C60"/>
    <mergeCell ref="A61:C61"/>
  </mergeCells>
  <dataValidations xWindow="710" yWindow="582" count="17">
    <dataValidation allowBlank="1" showInputMessage="1" showErrorMessage="1" errorTitle="Wprowadź moduły podstawowe" error="wprowadź moduły podstawowe, wówczas paramerty BI uzupełnią się samodzielnie" promptTitle="Wartość wyliczy się samodzielnie" prompt="pamiętaj, że cena jest zależna od łącznej liczby stanowisk modułów podstawowych, wprowadź je wszystkie" sqref="D32" xr:uid="{00000000-0002-0000-0000-000000000000}"/>
    <dataValidation allowBlank="1" showInputMessage="1" showErrorMessage="1" prompt="na licencji musi być inny, dowolny moduł, którego działanie chcemy oprocesować" sqref="E20" xr:uid="{00000000-0002-0000-0000-000001000000}"/>
    <dataValidation allowBlank="1" showInputMessage="1" showErrorMessage="1" prompt="można dokupić jeżeli na licencji jest już min. jedno stanowsiko dowolnego modułu samodzielnego min. w wersji srebrnej (patrz powyżej zaznaczone na zielono)" sqref="E7" xr:uid="{00000000-0002-0000-0000-000002000000}"/>
    <dataValidation allowBlank="1" showInputMessage="1" showErrorMessage="1" prompt="wpisz maksymalną liczbę kierowników z największej bazy,_x000a_PRZYKŁAD:_x000a_P.Kierownika będzie użytkowny w 2 bazach:_x000a_w 1. - 5 dostępów, w 2. - 3 dostępy_x000a_zatem wpisujemy 5" sqref="E68" xr:uid="{00000000-0002-0000-0000-000003000000}"/>
    <dataValidation allowBlank="1" showErrorMessage="1" prompt="wpisz liczbę tabel" sqref="F64" xr:uid="{00000000-0002-0000-0000-000004000000}"/>
    <dataValidation allowBlank="1" showErrorMessage="1" prompt="wpisz maksymalną liczbę stanowisk z największej bazy,_x000a_PRZYKŁAD:_x000a_Pulpit Kierownika będzie użytkowny w 3 bazach:_x000a_w 1. - 5 dostępów_x000a_w 2. - 3 dostepy_x000a_w 3. - 9 dostępów_x000a_w polu wpisujemy 9" sqref="F68" xr:uid="{00000000-0002-0000-0000-000005000000}"/>
    <dataValidation allowBlank="1" showErrorMessage="1" prompt="wskaż przedział" sqref="F67" xr:uid="{00000000-0002-0000-0000-000006000000}"/>
    <dataValidation type="list" allowBlank="1" showInputMessage="1" showErrorMessage="1" sqref="B66" xr:uid="{00000000-0002-0000-0000-000007000000}">
      <formula1>$A$178:$A$180</formula1>
    </dataValidation>
    <dataValidation allowBlank="1" showInputMessage="1" showErrorMessage="1" prompt="wpisz wartość rabatu" sqref="C76" xr:uid="{00000000-0002-0000-0000-000008000000}"/>
    <dataValidation allowBlank="1" showInputMessage="1" showErrorMessage="1" prompt="wpisz liczbę tabel" sqref="E64" xr:uid="{00000000-0002-0000-0000-000009000000}"/>
    <dataValidation allowBlank="1" showInputMessage="1" showErrorMessage="1" prompt="wymaga posiadania licencji na obszar Produkcja oraz Handel" sqref="F26" xr:uid="{00000000-0002-0000-0000-00000C000000}"/>
    <dataValidation allowBlank="1" showInputMessage="1" showErrorMessage="1" prompt="niedostępne w wersji okienkowej" sqref="E26" xr:uid="{00000000-0002-0000-0000-00000D000000}"/>
    <dataValidation allowBlank="1" showInputMessage="1" showErrorMessage="1" prompt="wymaga posiadania licencji na obszar CRM oraz Handel" sqref="E10" xr:uid="{00000000-0002-0000-0000-00000E000000}"/>
    <dataValidation allowBlank="1" showInputMessage="1" showErrorMessage="1" prompt="dowolny obszar, który chcemy &quot;poglądać&quot;" sqref="E22" xr:uid="{00000000-0002-0000-0000-00000F000000}"/>
    <dataValidation allowBlank="1" showInputMessage="1" showErrorMessage="1" prompt="wymaga posiadania licencji na obszar Handel" sqref="E11" xr:uid="{00000000-0002-0000-0000-000010000000}"/>
    <dataValidation allowBlank="1" showInputMessage="1" showErrorMessage="1" prompt="wybierz obszary" sqref="E3" xr:uid="{585C0598-F33E-4ED5-852A-ADD90FA6995E}"/>
    <dataValidation allowBlank="1" showErrorMessage="1" prompt="zaznacz odpowiednią opcję" sqref="F35:F61" xr:uid="{00000000-0002-0000-0000-00000A000000}"/>
  </dataValidations>
  <pageMargins left="0.7" right="0.7" top="0.75" bottom="0.75" header="0.3" footer="0.3"/>
  <pageSetup paperSize="9" orientation="portrait" horizontalDpi="300" r:id="rId1"/>
  <extLst>
    <ext xmlns:x14="http://schemas.microsoft.com/office/spreadsheetml/2009/9/main" uri="{CCE6A557-97BC-4b89-ADB6-D9C93CAAB3DF}">
      <x14:dataValidations xmlns:xm="http://schemas.microsoft.com/office/excel/2006/main" xWindow="710" yWindow="582" count="28">
        <x14:dataValidation type="list" allowBlank="1" showInputMessage="1" showErrorMessage="1" prompt="dowolny moduł min. w wersji złotej_x000a_(przynajmniej jedno, dowolne stanowsiko w ramach licencji Klienta musi być złote)" xr:uid="{00000000-0002-0000-0000-000011000000}">
          <x14:formula1>
            <xm:f>'Cennik enova365'!$G$13:$G$14</xm:f>
          </x14:formula1>
          <xm:sqref>E57 E59:E60</xm:sqref>
        </x14:dataValidation>
        <x14:dataValidation type="list" allowBlank="1" showInputMessage="1" showErrorMessage="1" prompt="dowolny moduł samodzielny min. w wersji srebrnej_x000a_(patrz powyżej zaznaczone na zielono)" xr:uid="{00000000-0002-0000-0000-000012000000}">
          <x14:formula1>
            <xm:f>'Cennik enova365'!$G$13:$G$14</xm:f>
          </x14:formula1>
          <xm:sqref>E47:E48</xm:sqref>
        </x14:dataValidation>
        <x14:dataValidation type="list" allowBlank="1" showInputMessage="1" showErrorMessage="1" prompt="wymaga:_x000a_Kadry Płace min. złote" xr:uid="{00000000-0002-0000-0000-000013000000}">
          <x14:formula1>
            <xm:f>'Cennik enova365'!$G$13:$G$14</xm:f>
          </x14:formula1>
          <xm:sqref>E35:E40 E42:E44</xm:sqref>
        </x14:dataValidation>
        <x14:dataValidation type="list" allowBlank="1" showInputMessage="1" showErrorMessage="1" errorTitle="Wprowadź moduły podstawowe" error="wprowadź moduły podstawowe, wówczas paramerty BI uzupełnią się samodzielnie" promptTitle="Wartość wyliczy się samodzielnie" prompt="pamiętaj, że cena jest zależna od łącznej liczby stanowisk modułów podstawowych, wprowadź je wszystkie" xr:uid="{00000000-0002-0000-0000-000014000000}">
          <x14:formula1>
            <xm:f>'Cennik enova365'!$G$13:$G$14</xm:f>
          </x14:formula1>
          <xm:sqref>E32</xm:sqref>
        </x14:dataValidation>
        <x14:dataValidation type="list" allowBlank="1" showInputMessage="1" showErrorMessage="1" prompt="wymaga:_x000a_Handel min. złoty_x000a_" xr:uid="{00000000-0002-0000-0000-000015000000}">
          <x14:formula1>
            <xm:f>'Cennik enova365'!$G$13:$G$14</xm:f>
          </x14:formula1>
          <xm:sqref>E56</xm:sqref>
        </x14:dataValidation>
        <x14:dataValidation type="list" allowBlank="1" showInputMessage="1" showErrorMessage="1" prompt="wybierz przedział" xr:uid="{00000000-0002-0000-0000-000016000000}">
          <x14:formula1>
            <xm:f>'Cennik enova365'!$A$83:$A$88</xm:f>
          </x14:formula1>
          <xm:sqref>E69</xm:sqref>
        </x14:dataValidation>
        <x14:dataValidation type="list" allowBlank="1" showInputMessage="1" showErrorMessage="1" prompt="wybierz przedział" xr:uid="{00000000-0002-0000-0000-000017000000}">
          <x14:formula1>
            <xm:f>'Cennik enova365'!$A$91:$A$96</xm:f>
          </x14:formula1>
          <xm:sqref>E70:E72</xm:sqref>
        </x14:dataValidation>
        <x14:dataValidation type="list" allowBlank="1" showInputMessage="1" showErrorMessage="1" prompt="wymaga modułu Kadry Płace" xr:uid="{00000000-0002-0000-0000-000018000000}">
          <x14:formula1>
            <xm:f>'Cennik enova365'!$G$13:$G$14</xm:f>
          </x14:formula1>
          <xm:sqref>B67</xm:sqref>
        </x14:dataValidation>
        <x14:dataValidation type="list" allowBlank="1" showInputMessage="1" showErrorMessage="1" prompt="wymaga Pulpitu Pracownika oraz modułu Kadry Płace" xr:uid="{00000000-0002-0000-0000-000019000000}">
          <x14:formula1>
            <xm:f>'Cennik enova365'!$G$13:$G$14</xm:f>
          </x14:formula1>
          <xm:sqref>B68</xm:sqref>
        </x14:dataValidation>
        <x14:dataValidation type="list" allowBlank="1" showInputMessage="1" showErrorMessage="1" prompt="wymaga modułu Handel lub modułu CRM" xr:uid="{00000000-0002-0000-0000-00001A000000}">
          <x14:formula1>
            <xm:f>'Cennik enova365'!$G$13:$G$14</xm:f>
          </x14:formula1>
          <xm:sqref>B69</xm:sqref>
        </x14:dataValidation>
        <x14:dataValidation type="list" allowBlank="1" showInputMessage="1" showErrorMessage="1" prompt="wymaga modułu Workflow oraz innego Pulpitu" xr:uid="{00000000-0002-0000-0000-00001B000000}">
          <x14:formula1>
            <xm:f>'Cennik enova365'!$G$13:$G$14</xm:f>
          </x14:formula1>
          <xm:sqref>B70</xm:sqref>
        </x14:dataValidation>
        <x14:dataValidation type="list" allowBlank="1" showInputMessage="1" showErrorMessage="1" prompt="wybierz przedział" xr:uid="{00000000-0002-0000-0000-00001C000000}">
          <x14:formula1>
            <xm:f>'Cennik enova365'!$A$73:$A$78</xm:f>
          </x14:formula1>
          <xm:sqref>E67</xm:sqref>
        </x14:dataValidation>
        <x14:dataValidation type="list" allowBlank="1" showInputMessage="1" showErrorMessage="1" prompt="dowolny moduł min. w wersji złotej_x000a_(przynajmniej jedno, dowolne stanowsiko w ramach licencji Klienta musi być multi)" xr:uid="{00000000-0002-0000-0000-00001D000000}">
          <x14:formula1>
            <xm:f>'Cennik enova365'!$G$13:$G$14</xm:f>
          </x14:formula1>
          <xm:sqref>E55</xm:sqref>
        </x14:dataValidation>
        <x14:dataValidation type="list" allowBlank="1" showInputMessage="1" showErrorMessage="1" prompt="wymaga:_x000a_Kadry Płace min. złote i Handel min. złoty" xr:uid="{00000000-0002-0000-0000-00001E000000}">
          <x14:formula1>
            <xm:f>'Cennik enova365'!$G$13:$G$14</xm:f>
          </x14:formula1>
          <xm:sqref>E41</xm:sqref>
        </x14:dataValidation>
        <x14:dataValidation type="list" allowBlank="1" showInputMessage="1" showErrorMessage="1" prompt="wymaga:_x000a_Księga Handlowa min. złota" xr:uid="{00000000-0002-0000-0000-00001F000000}">
          <x14:formula1>
            <xm:f>'Cennik enova365'!$G$13:$G$14</xm:f>
          </x14:formula1>
          <xm:sqref>E45:E46</xm:sqref>
        </x14:dataValidation>
        <x14:dataValidation type="list" allowBlank="1" showInputMessage="1" showErrorMessage="1" prompt="wymaga:_x000a_Księga Handlowa min. złota_x000a_lub Księga Podatkowa" xr:uid="{00000000-0002-0000-0000-000020000000}">
          <x14:formula1>
            <xm:f>'Cennik enova365'!$G$13:$G$14</xm:f>
          </x14:formula1>
          <xm:sqref>E49:E50</xm:sqref>
        </x14:dataValidation>
        <x14:dataValidation type="list" allowBlank="1" showInputMessage="1" showErrorMessage="1" prompt="wymaga:_x000a_Faktury min. srebrne_x000a_lub Handel min. srebrny_x000a_" xr:uid="{00000000-0002-0000-0000-000021000000}">
          <x14:formula1>
            <xm:f>'Cennik enova365'!$G$13:$G$14</xm:f>
          </x14:formula1>
          <xm:sqref>E51</xm:sqref>
        </x14:dataValidation>
        <x14:dataValidation type="list" allowBlank="1" showInputMessage="1" showErrorMessage="1" prompt="dowolny moduł min. w wersji srebrnej" xr:uid="{00000000-0002-0000-0000-000022000000}">
          <x14:formula1>
            <xm:f>'Cennik enova365'!$G$13:$G$14</xm:f>
          </x14:formula1>
          <xm:sqref>E52</xm:sqref>
        </x14:dataValidation>
        <x14:dataValidation type="list" allowBlank="1" showInputMessage="1" showErrorMessage="1" prompt="wymaga:_x000a_Faktury min. srebrne_x000a_lub Handel min. srebrny" xr:uid="{00000000-0002-0000-0000-000023000000}">
          <x14:formula1>
            <xm:f>'Cennik enova365'!$G$13:$G$14</xm:f>
          </x14:formula1>
          <xm:sqref>E53:E54</xm:sqref>
        </x14:dataValidation>
        <x14:dataValidation type="list" allowBlank="1" showInputMessage="1" showErrorMessage="1" prompt="wymaga:_x000a_CRM min. złoty_x000a_lub Projekty min. złote" xr:uid="{00000000-0002-0000-0000-000024000000}">
          <x14:formula1>
            <xm:f>'Cennik enova365'!$G$13:$G$14</xm:f>
          </x14:formula1>
          <xm:sqref>E58</xm:sqref>
        </x14:dataValidation>
        <x14:dataValidation type="list" allowBlank="1" showInputMessage="1" showErrorMessage="1" xr:uid="{00000000-0002-0000-0000-000025000000}">
          <x14:formula1>
            <xm:f>'Cennik enova365'!$G$13:$G$14</xm:f>
          </x14:formula1>
          <xm:sqref>E76</xm:sqref>
        </x14:dataValidation>
        <x14:dataValidation type="list" allowBlank="1" showInputMessage="1" showErrorMessage="1" prompt="zaznacz odpowiednią opcję" xr:uid="{00000000-0002-0000-0000-000026000000}">
          <x14:formula1>
            <xm:f>'Cennik enova365'!$G$13:$G$14</xm:f>
          </x14:formula1>
          <xm:sqref>B64</xm:sqref>
        </x14:dataValidation>
        <x14:dataValidation type="list" allowBlank="1" showInputMessage="1" showErrorMessage="1" prompt="wymaga modułu BI oraz innego Pulpitu" xr:uid="{00000000-0002-0000-0000-000027000000}">
          <x14:formula1>
            <xm:f>'Cennik enova365'!$G$13:$G$14</xm:f>
          </x14:formula1>
          <xm:sqref>B71</xm:sqref>
        </x14:dataValidation>
        <x14:dataValidation type="list" allowBlank="1" showInputMessage="1" showErrorMessage="1" prompt="wymagany Pulpit Pracownika" xr:uid="{00000000-0002-0000-0000-000028000000}">
          <x14:formula1>
            <xm:f>'Cennik enova365'!$G$13:$G$14</xm:f>
          </x14:formula1>
          <xm:sqref>B73</xm:sqref>
        </x14:dataValidation>
        <x14:dataValidation type="list" allowBlank="1" showInputMessage="1" showErrorMessage="1" prompt="wymaga modułów Praca Hybrydowa, Kadry Płace oraz Pulpitu Pracownika_x000a__x000a_" xr:uid="{00000000-0002-0000-0000-000029000000}">
          <x14:formula1>
            <xm:f>'Cennik enova365'!$G$13:$G$14</xm:f>
          </x14:formula1>
          <xm:sqref>B72</xm:sqref>
        </x14:dataValidation>
        <x14:dataValidation type="list" allowBlank="1" showInputMessage="1" showErrorMessage="1" prompt="abonament roczny, wybierz przedział" xr:uid="{00000000-0002-0000-0000-00002A000000}">
          <x14:formula1>
            <xm:f>'Cennik enova365'!$A$127:$A$139</xm:f>
          </x14:formula1>
          <xm:sqref>E79</xm:sqref>
        </x14:dataValidation>
        <x14:dataValidation type="list" allowBlank="1" showInputMessage="1" showErrorMessage="1" prompt="abonament roczny, wybierz przedział" xr:uid="{00000000-0002-0000-0000-00002B000000}">
          <x14:formula1>
            <xm:f>'Cennik enova365'!$G$13:$G$14</xm:f>
          </x14:formula1>
          <xm:sqref>B79</xm:sqref>
        </x14:dataValidation>
        <x14:dataValidation type="list" allowBlank="1" showInputMessage="1" showErrorMessage="1" prompt="wymaga obszaru Handel oraz dodatku Integrator_x000a_Dodatek płatny dla wszystkich wersji kolorystycznych enova365." xr:uid="{C896043B-1C72-4F9F-BE9A-B5353133C5FA}">
          <x14:formula1>
            <xm:f>'Cennik enova365'!$G$13:$G$14</xm:f>
          </x14:formula1>
          <xm:sqref>E61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0"/>
  <sheetViews>
    <sheetView zoomScale="80" zoomScaleNormal="80" workbookViewId="0">
      <selection activeCell="C3" sqref="C3"/>
    </sheetView>
  </sheetViews>
  <sheetFormatPr defaultColWidth="9.109375" defaultRowHeight="14.4" x14ac:dyDescent="0.3"/>
  <cols>
    <col min="1" max="1" width="56.109375" style="18" customWidth="1"/>
    <col min="2" max="2" width="23.109375" style="18" customWidth="1"/>
    <col min="3" max="3" width="17.5546875" style="18" customWidth="1"/>
    <col min="4" max="4" width="20.109375" style="18" customWidth="1"/>
    <col min="5" max="5" width="20.44140625" style="18" customWidth="1"/>
    <col min="6" max="6" width="12.33203125" style="18" customWidth="1"/>
    <col min="7" max="7" width="18.6640625" style="18" customWidth="1"/>
    <col min="8" max="8" width="12.5546875" style="18" customWidth="1"/>
    <col min="9" max="9" width="9.109375" style="18"/>
    <col min="10" max="10" width="77.5546875" style="18" customWidth="1"/>
    <col min="11" max="16384" width="9.109375" style="18"/>
  </cols>
  <sheetData>
    <row r="1" spans="1:10" ht="78" x14ac:dyDescent="0.3">
      <c r="A1" s="10" t="s">
        <v>7</v>
      </c>
      <c r="B1" s="68" t="s">
        <v>8</v>
      </c>
      <c r="C1" s="11" t="s">
        <v>67</v>
      </c>
      <c r="D1" s="11" t="s">
        <v>68</v>
      </c>
      <c r="E1" s="12" t="s">
        <v>95</v>
      </c>
      <c r="F1" s="135" t="s">
        <v>69</v>
      </c>
      <c r="G1" s="13" t="s">
        <v>9</v>
      </c>
      <c r="H1" s="72" t="s">
        <v>18</v>
      </c>
      <c r="J1" s="137" t="s">
        <v>96</v>
      </c>
    </row>
    <row r="2" spans="1:10" ht="15.6" x14ac:dyDescent="0.3">
      <c r="A2" s="185" t="s">
        <v>98</v>
      </c>
      <c r="B2" s="186"/>
      <c r="C2" s="187"/>
      <c r="D2" s="14"/>
      <c r="E2" s="15"/>
      <c r="F2" s="16"/>
      <c r="G2" s="17"/>
      <c r="H2" s="18">
        <f>IF(G28&gt;0,1,0)</f>
        <v>0</v>
      </c>
    </row>
    <row r="3" spans="1:10" ht="15.6" x14ac:dyDescent="0.3">
      <c r="A3" s="136" t="s">
        <v>122</v>
      </c>
      <c r="B3" s="26" t="s">
        <v>30</v>
      </c>
      <c r="C3" s="19">
        <f>VLOOKUP($A3,moduly_podstawowe[],4,FALSE)</f>
        <v>38570</v>
      </c>
      <c r="D3" s="19">
        <f>VLOOKUP($A3,moduly_podstawowe[],5,FALSE)</f>
        <v>40500</v>
      </c>
      <c r="E3" s="20">
        <v>0</v>
      </c>
      <c r="F3" s="20">
        <v>0</v>
      </c>
      <c r="G3" s="21">
        <f>IF(F3=0,C3*E3,IF(OR(AND(E3=0,F3&lt;&gt;0),F3&gt;E3),"błąd",((E3-F3)*C3)+(D3*F3)))</f>
        <v>0</v>
      </c>
      <c r="H3" s="18">
        <f t="shared" ref="H3:H30" si="0">IF(G3&gt;0,1,0)</f>
        <v>0</v>
      </c>
    </row>
    <row r="4" spans="1:10" ht="15.6" x14ac:dyDescent="0.3">
      <c r="A4" s="136" t="s">
        <v>123</v>
      </c>
      <c r="B4" s="26" t="s">
        <v>30</v>
      </c>
      <c r="C4" s="19">
        <f>VLOOKUP($A4,moduly_podstawowe[],4,FALSE)</f>
        <v>9180</v>
      </c>
      <c r="D4" s="19">
        <f>VLOOKUP($A4,moduly_podstawowe[],5,FALSE)</f>
        <v>9640</v>
      </c>
      <c r="E4" s="20">
        <v>0</v>
      </c>
      <c r="F4" s="20">
        <v>0</v>
      </c>
      <c r="G4" s="21">
        <f t="shared" ref="G4:G25" si="1">IF(F4=0,C4*E4,IF(OR(AND(E4=0,F4&lt;&gt;0),F4&gt;E4),"błąd",((E4-F4)*C4)+(D4*F4)))</f>
        <v>0</v>
      </c>
      <c r="H4" s="18">
        <f t="shared" si="0"/>
        <v>0</v>
      </c>
      <c r="J4" s="137"/>
    </row>
    <row r="5" spans="1:10" ht="15.6" x14ac:dyDescent="0.3">
      <c r="A5" s="136" t="s">
        <v>124</v>
      </c>
      <c r="B5" s="26" t="s">
        <v>30</v>
      </c>
      <c r="C5" s="19">
        <f>VLOOKUP($A5,moduly_podstawowe[],4,FALSE)</f>
        <v>38570</v>
      </c>
      <c r="D5" s="19">
        <f>VLOOKUP($A5,moduly_podstawowe[],5,FALSE)</f>
        <v>40500</v>
      </c>
      <c r="E5" s="20">
        <v>0</v>
      </c>
      <c r="F5" s="20">
        <v>0</v>
      </c>
      <c r="G5" s="21">
        <f t="shared" si="1"/>
        <v>0</v>
      </c>
      <c r="H5" s="18">
        <f t="shared" si="0"/>
        <v>0</v>
      </c>
      <c r="J5" s="137"/>
    </row>
    <row r="6" spans="1:10" ht="15.6" x14ac:dyDescent="0.3">
      <c r="A6" s="136" t="s">
        <v>125</v>
      </c>
      <c r="B6" s="26" t="s">
        <v>30</v>
      </c>
      <c r="C6" s="19">
        <f>VLOOKUP($A6,moduly_podstawowe[],4,FALSE)</f>
        <v>17490</v>
      </c>
      <c r="D6" s="19">
        <f>VLOOKUP($A6,moduly_podstawowe[],5,FALSE)</f>
        <v>18370</v>
      </c>
      <c r="E6" s="20">
        <v>0</v>
      </c>
      <c r="F6" s="20">
        <v>0</v>
      </c>
      <c r="G6" s="21">
        <f t="shared" si="1"/>
        <v>0</v>
      </c>
      <c r="H6" s="18">
        <f t="shared" si="0"/>
        <v>0</v>
      </c>
      <c r="J6" s="137"/>
    </row>
    <row r="7" spans="1:10" ht="15.6" x14ac:dyDescent="0.3">
      <c r="A7" s="102" t="s">
        <v>126</v>
      </c>
      <c r="B7" s="26" t="s">
        <v>30</v>
      </c>
      <c r="C7" s="19">
        <f>VLOOKUP($A7,moduly_podstawowe[],4,FALSE)</f>
        <v>26490</v>
      </c>
      <c r="D7" s="19">
        <f>VLOOKUP($A7,moduly_podstawowe[],5,FALSE)</f>
        <v>27820</v>
      </c>
      <c r="E7" s="20">
        <v>0</v>
      </c>
      <c r="F7" s="20">
        <v>0</v>
      </c>
      <c r="G7" s="21">
        <f t="shared" si="1"/>
        <v>0</v>
      </c>
      <c r="H7" s="18">
        <f t="shared" si="0"/>
        <v>0</v>
      </c>
      <c r="J7" s="137"/>
    </row>
    <row r="8" spans="1:10" ht="15.6" x14ac:dyDescent="0.3">
      <c r="A8" s="136" t="s">
        <v>127</v>
      </c>
      <c r="B8" s="26" t="s">
        <v>30</v>
      </c>
      <c r="C8" s="19">
        <f>VLOOKUP($A8,moduly_podstawowe[],4,FALSE)</f>
        <v>8745</v>
      </c>
      <c r="D8" s="19">
        <f>VLOOKUP($A8,moduly_podstawowe[],5,FALSE)</f>
        <v>9180</v>
      </c>
      <c r="E8" s="20">
        <v>0</v>
      </c>
      <c r="F8" s="20">
        <v>0</v>
      </c>
      <c r="G8" s="21">
        <f t="shared" si="1"/>
        <v>0</v>
      </c>
      <c r="H8" s="18">
        <f t="shared" si="0"/>
        <v>0</v>
      </c>
      <c r="J8" s="137"/>
    </row>
    <row r="9" spans="1:10" ht="15.6" x14ac:dyDescent="0.3">
      <c r="A9" s="136" t="s">
        <v>128</v>
      </c>
      <c r="B9" s="26" t="s">
        <v>30</v>
      </c>
      <c r="C9" s="19">
        <f>VLOOKUP($A9,moduly_podstawowe[],4,FALSE)</f>
        <v>36740</v>
      </c>
      <c r="D9" s="19">
        <f>VLOOKUP($A9,moduly_podstawowe[],5,FALSE)</f>
        <v>38570</v>
      </c>
      <c r="E9" s="20">
        <v>0</v>
      </c>
      <c r="F9" s="20">
        <v>0</v>
      </c>
      <c r="G9" s="21">
        <f>IF(AND((E8+F8&gt;0),(E9+F9&gt;0)),"usuń Faktury",IF(F9=0,C9*E9,IF(OR(AND(E9=0,F9&lt;&gt;0),F9&gt;E9),"błąd",((E9-F9)*C9)+(D9*F9))))</f>
        <v>0</v>
      </c>
      <c r="H9" s="18">
        <f t="shared" si="0"/>
        <v>0</v>
      </c>
      <c r="J9" s="139" t="str">
        <f>IF(G9="usuń Faktury","Faktur i Handlu nie można łączyć w ramach jednej licencji"," ")</f>
        <v xml:space="preserve"> </v>
      </c>
    </row>
    <row r="10" spans="1:10" ht="15.6" x14ac:dyDescent="0.3">
      <c r="A10" s="49" t="s">
        <v>129</v>
      </c>
      <c r="B10" s="26" t="s">
        <v>30</v>
      </c>
      <c r="C10" s="19">
        <f>VLOOKUP($A10,moduly_podstawowe[],4,FALSE)</f>
        <v>8830</v>
      </c>
      <c r="D10" s="19">
        <f>VLOOKUP($A10,moduly_podstawowe[],5,FALSE)</f>
        <v>9270</v>
      </c>
      <c r="E10" s="20">
        <v>0</v>
      </c>
      <c r="F10" s="20">
        <v>0</v>
      </c>
      <c r="G10" s="21">
        <f t="shared" si="1"/>
        <v>0</v>
      </c>
      <c r="H10" s="18">
        <f t="shared" si="0"/>
        <v>0</v>
      </c>
      <c r="J10" s="139"/>
    </row>
    <row r="11" spans="1:10" ht="15.6" x14ac:dyDescent="0.3">
      <c r="A11" s="49" t="s">
        <v>130</v>
      </c>
      <c r="B11" s="26" t="s">
        <v>30</v>
      </c>
      <c r="C11" s="19">
        <f>VLOOKUP($A11,moduly_podstawowe[],4,FALSE)</f>
        <v>30720</v>
      </c>
      <c r="D11" s="19">
        <f>VLOOKUP($A11,moduly_podstawowe[],5,FALSE)</f>
        <v>35320</v>
      </c>
      <c r="E11" s="20">
        <v>0</v>
      </c>
      <c r="F11" s="20">
        <v>0</v>
      </c>
      <c r="G11" s="21">
        <f t="shared" si="1"/>
        <v>0</v>
      </c>
      <c r="H11" s="18">
        <f t="shared" si="0"/>
        <v>0</v>
      </c>
    </row>
    <row r="12" spans="1:10" ht="15.6" x14ac:dyDescent="0.3">
      <c r="A12" s="136" t="s">
        <v>131</v>
      </c>
      <c r="B12" s="26" t="s">
        <v>30</v>
      </c>
      <c r="C12" s="19">
        <f>VLOOKUP($A12,moduly_podstawowe[],4,FALSE)</f>
        <v>27020</v>
      </c>
      <c r="D12" s="19">
        <f>VLOOKUP($A12,moduly_podstawowe[],5,FALSE)</f>
        <v>28380</v>
      </c>
      <c r="E12" s="20">
        <v>0</v>
      </c>
      <c r="F12" s="20">
        <v>0</v>
      </c>
      <c r="G12" s="21">
        <f t="shared" si="1"/>
        <v>0</v>
      </c>
      <c r="H12" s="18">
        <f t="shared" si="0"/>
        <v>0</v>
      </c>
      <c r="J12" s="163" t="str">
        <f>IF(E12+F12&gt;0,"zawiera pełną funcjonalność e-mail"," ")</f>
        <v xml:space="preserve"> </v>
      </c>
    </row>
    <row r="13" spans="1:10" ht="15.6" x14ac:dyDescent="0.3">
      <c r="A13" s="136" t="s">
        <v>132</v>
      </c>
      <c r="B13" s="26" t="s">
        <v>30</v>
      </c>
      <c r="C13" s="19">
        <f>VLOOKUP($A13,moduly_podstawowe[],4,FALSE)</f>
        <v>8830</v>
      </c>
      <c r="D13" s="19">
        <f>VLOOKUP($A13,moduly_podstawowe[],5,FALSE)</f>
        <v>9275</v>
      </c>
      <c r="E13" s="20">
        <v>0</v>
      </c>
      <c r="F13" s="20">
        <v>0</v>
      </c>
      <c r="G13" s="21">
        <f t="shared" si="1"/>
        <v>0</v>
      </c>
      <c r="H13" s="18">
        <f>IF(G13&gt;0,1,0)</f>
        <v>0</v>
      </c>
      <c r="J13" s="137"/>
    </row>
    <row r="14" spans="1:10" ht="15.6" x14ac:dyDescent="0.3">
      <c r="A14" s="136" t="s">
        <v>133</v>
      </c>
      <c r="B14" s="26" t="s">
        <v>30</v>
      </c>
      <c r="C14" s="19">
        <f>VLOOKUP($A14,moduly_podstawowe[],4,FALSE)</f>
        <v>8830</v>
      </c>
      <c r="D14" s="19">
        <f>VLOOKUP($A14,moduly_podstawowe[],5,FALSE)</f>
        <v>9275</v>
      </c>
      <c r="E14" s="20">
        <v>0</v>
      </c>
      <c r="F14" s="20">
        <v>0</v>
      </c>
      <c r="G14" s="21">
        <f t="shared" si="1"/>
        <v>0</v>
      </c>
      <c r="H14" s="18">
        <f t="shared" si="0"/>
        <v>0</v>
      </c>
    </row>
    <row r="15" spans="1:10" ht="15.6" x14ac:dyDescent="0.3">
      <c r="A15" s="136" t="s">
        <v>134</v>
      </c>
      <c r="B15" s="26" t="s">
        <v>30</v>
      </c>
      <c r="C15" s="19">
        <f>VLOOKUP($A15,moduly_podstawowe[],4,FALSE)</f>
        <v>8830</v>
      </c>
      <c r="D15" s="19">
        <f>VLOOKUP($A15,moduly_podstawowe[],5,FALSE)</f>
        <v>9275</v>
      </c>
      <c r="E15" s="20">
        <v>0</v>
      </c>
      <c r="F15" s="20">
        <v>0</v>
      </c>
      <c r="G15" s="21">
        <f t="shared" si="1"/>
        <v>0</v>
      </c>
      <c r="H15" s="18">
        <f t="shared" si="0"/>
        <v>0</v>
      </c>
    </row>
    <row r="16" spans="1:10" ht="15.6" x14ac:dyDescent="0.3">
      <c r="A16" s="136" t="s">
        <v>135</v>
      </c>
      <c r="B16" s="26" t="s">
        <v>30</v>
      </c>
      <c r="C16" s="19">
        <f>VLOOKUP($A16,moduly_podstawowe[],4,FALSE)</f>
        <v>8830</v>
      </c>
      <c r="D16" s="19">
        <f>VLOOKUP($A16,moduly_podstawowe[],5,FALSE)</f>
        <v>9275</v>
      </c>
      <c r="E16" s="20">
        <v>0</v>
      </c>
      <c r="F16" s="20">
        <v>0</v>
      </c>
      <c r="G16" s="21">
        <f t="shared" si="1"/>
        <v>0</v>
      </c>
      <c r="H16" s="18">
        <f>IF(G16&gt;0,1,0)</f>
        <v>0</v>
      </c>
    </row>
    <row r="17" spans="1:10" ht="15.6" x14ac:dyDescent="0.3">
      <c r="A17" s="136" t="s">
        <v>136</v>
      </c>
      <c r="B17" s="26" t="s">
        <v>30</v>
      </c>
      <c r="C17" s="19">
        <f>VLOOKUP($A17,moduly_podstawowe[],4,FALSE)</f>
        <v>35330</v>
      </c>
      <c r="D17" s="19">
        <f>VLOOKUP($A17,moduly_podstawowe[],5,FALSE)</f>
        <v>37090</v>
      </c>
      <c r="E17" s="20">
        <v>0</v>
      </c>
      <c r="F17" s="20">
        <v>0</v>
      </c>
      <c r="G17" s="21">
        <f t="shared" si="1"/>
        <v>0</v>
      </c>
      <c r="H17" s="18">
        <f t="shared" si="0"/>
        <v>0</v>
      </c>
      <c r="J17" s="152" t="str">
        <f>IF(E17+F17&gt;0,"zawiera pełną funcjonalność CRM oraz e-mail"," ")</f>
        <v xml:space="preserve"> </v>
      </c>
    </row>
    <row r="18" spans="1:10" ht="15.6" x14ac:dyDescent="0.3">
      <c r="A18" s="136" t="s">
        <v>175</v>
      </c>
      <c r="B18" s="26" t="s">
        <v>30</v>
      </c>
      <c r="C18" s="19">
        <f>VLOOKUP($A18,moduly_podstawowe[],4,FALSE)</f>
        <v>24960</v>
      </c>
      <c r="D18" s="19">
        <f>VLOOKUP($A18,moduly_podstawowe[],5,FALSE)</f>
        <v>28700</v>
      </c>
      <c r="E18" s="20">
        <v>0</v>
      </c>
      <c r="F18" s="20">
        <v>0</v>
      </c>
      <c r="G18" s="21">
        <f t="shared" si="1"/>
        <v>0</v>
      </c>
      <c r="H18" s="18">
        <f t="shared" si="0"/>
        <v>0</v>
      </c>
      <c r="J18" s="152"/>
    </row>
    <row r="19" spans="1:10" ht="15.6" x14ac:dyDescent="0.3">
      <c r="A19" s="136" t="s">
        <v>176</v>
      </c>
      <c r="B19" s="26" t="s">
        <v>30</v>
      </c>
      <c r="C19" s="19">
        <f>VLOOKUP($A19,moduly_podstawowe[],4,FALSE)</f>
        <v>8330</v>
      </c>
      <c r="D19" s="19">
        <f>VLOOKUP($A19,moduly_podstawowe[],5,FALSE)</f>
        <v>8750</v>
      </c>
      <c r="E19" s="20">
        <v>0</v>
      </c>
      <c r="F19" s="20">
        <v>0</v>
      </c>
      <c r="G19" s="21">
        <f t="shared" si="1"/>
        <v>0</v>
      </c>
      <c r="H19" s="18">
        <f t="shared" si="0"/>
        <v>0</v>
      </c>
      <c r="J19" s="152"/>
    </row>
    <row r="20" spans="1:10" ht="15.6" x14ac:dyDescent="0.3">
      <c r="A20" s="49" t="s">
        <v>137</v>
      </c>
      <c r="B20" s="26" t="s">
        <v>30</v>
      </c>
      <c r="C20" s="19">
        <f>VLOOKUP($A20,moduly_podstawowe[],4,FALSE)</f>
        <v>26240</v>
      </c>
      <c r="D20" s="19">
        <f>VLOOKUP($A20,moduly_podstawowe[],5,FALSE)</f>
        <v>27550</v>
      </c>
      <c r="E20" s="20">
        <v>0</v>
      </c>
      <c r="F20" s="20">
        <v>0</v>
      </c>
      <c r="G20" s="21">
        <f t="shared" si="1"/>
        <v>0</v>
      </c>
      <c r="H20" s="18">
        <f t="shared" si="0"/>
        <v>0</v>
      </c>
      <c r="J20" s="137"/>
    </row>
    <row r="21" spans="1:10" ht="15.6" x14ac:dyDescent="0.3">
      <c r="A21" s="49" t="s">
        <v>138</v>
      </c>
      <c r="B21" s="26" t="s">
        <v>30</v>
      </c>
      <c r="C21" s="19">
        <f>VLOOKUP($A21,moduly_podstawowe[],4,FALSE)</f>
        <v>8740</v>
      </c>
      <c r="D21" s="19">
        <f>VLOOKUP($A21,moduly_podstawowe[],5,FALSE)</f>
        <v>9180</v>
      </c>
      <c r="E21" s="20">
        <v>0</v>
      </c>
      <c r="F21" s="20">
        <v>0</v>
      </c>
      <c r="G21" s="21">
        <f t="shared" si="1"/>
        <v>0</v>
      </c>
      <c r="H21" s="18">
        <f>IF(G21&gt;0,1,0)</f>
        <v>0</v>
      </c>
    </row>
    <row r="22" spans="1:10" ht="15.6" x14ac:dyDescent="0.3">
      <c r="A22" s="49" t="s">
        <v>139</v>
      </c>
      <c r="B22" s="26" t="s">
        <v>30</v>
      </c>
      <c r="C22" s="19">
        <f>VLOOKUP($A22,moduly_podstawowe[],4,FALSE)</f>
        <v>8830</v>
      </c>
      <c r="D22" s="19">
        <f>VLOOKUP($A22,moduly_podstawowe[],5,FALSE)</f>
        <v>9275</v>
      </c>
      <c r="E22" s="20">
        <v>0</v>
      </c>
      <c r="F22" s="20">
        <v>0</v>
      </c>
      <c r="G22" s="21">
        <f t="shared" si="1"/>
        <v>0</v>
      </c>
      <c r="H22" s="18">
        <f t="shared" si="0"/>
        <v>0</v>
      </c>
      <c r="J22" s="139" t="str">
        <f>IF(F22&gt;0,"jeżeli planujemy korzystać z Poglądu multi to na licencji musi być min. 1 st. multi w ramach poglądanego modułu"," ")</f>
        <v xml:space="preserve"> </v>
      </c>
    </row>
    <row r="23" spans="1:10" ht="15.6" x14ac:dyDescent="0.3">
      <c r="A23" s="136" t="s">
        <v>140</v>
      </c>
      <c r="B23" s="26" t="s">
        <v>30</v>
      </c>
      <c r="C23" s="19">
        <f>VLOOKUP($A23,moduly_podstawowe[],4,FALSE)</f>
        <v>17660</v>
      </c>
      <c r="D23" s="19">
        <f>VLOOKUP($A23,moduly_podstawowe[],5,FALSE)</f>
        <v>18550</v>
      </c>
      <c r="E23" s="20">
        <v>0</v>
      </c>
      <c r="F23" s="20">
        <v>0</v>
      </c>
      <c r="G23" s="21">
        <f t="shared" si="1"/>
        <v>0</v>
      </c>
      <c r="H23" s="18">
        <f>IF(G23&gt;0,1,0)</f>
        <v>0</v>
      </c>
    </row>
    <row r="24" spans="1:10" ht="15.6" x14ac:dyDescent="0.3">
      <c r="A24" s="136" t="s">
        <v>141</v>
      </c>
      <c r="B24" s="26" t="s">
        <v>30</v>
      </c>
      <c r="C24" s="19">
        <f>VLOOKUP($A24,moduly_podstawowe[],4,FALSE)</f>
        <v>8830</v>
      </c>
      <c r="D24" s="19">
        <f>VLOOKUP($A24,moduly_podstawowe[],5,FALSE)</f>
        <v>9275</v>
      </c>
      <c r="E24" s="20">
        <v>0</v>
      </c>
      <c r="F24" s="20">
        <v>0</v>
      </c>
      <c r="G24" s="21">
        <f t="shared" si="1"/>
        <v>0</v>
      </c>
      <c r="H24" s="18">
        <f>IF(G24&gt;0,1,0)</f>
        <v>0</v>
      </c>
      <c r="J24" s="138"/>
    </row>
    <row r="25" spans="1:10" ht="15.6" x14ac:dyDescent="0.3">
      <c r="A25" s="150" t="s">
        <v>142</v>
      </c>
      <c r="B25" s="26" t="s">
        <v>30</v>
      </c>
      <c r="C25" s="19">
        <f>VLOOKUP($A25,moduly_podstawowe[],4,FALSE)</f>
        <v>8830</v>
      </c>
      <c r="D25" s="19">
        <f>VLOOKUP($A25,moduly_podstawowe[],5,FALSE)</f>
        <v>9275</v>
      </c>
      <c r="E25" s="20">
        <v>0</v>
      </c>
      <c r="F25" s="20">
        <v>0</v>
      </c>
      <c r="G25" s="21">
        <f t="shared" si="1"/>
        <v>0</v>
      </c>
      <c r="H25" s="18">
        <f>IF(G25&gt;0,1,0)</f>
        <v>0</v>
      </c>
      <c r="J25" s="138"/>
    </row>
    <row r="26" spans="1:10" ht="15.6" x14ac:dyDescent="0.3">
      <c r="A26" s="156" t="s">
        <v>167</v>
      </c>
      <c r="B26" s="26" t="s">
        <v>30</v>
      </c>
      <c r="C26" s="22" t="str">
        <f>VLOOKUP($A26,moduly_podstawowe[],4,FALSE)</f>
        <v>niedostępny</v>
      </c>
      <c r="D26" s="19">
        <f>VLOOKUP($A26,moduly_podstawowe[],5,FALSE)</f>
        <v>8830</v>
      </c>
      <c r="E26" s="158">
        <v>0</v>
      </c>
      <c r="F26" s="155">
        <v>0</v>
      </c>
      <c r="G26" s="21">
        <f>IF(E26=0,D26*F26,IF(OR(AND(F26=0,E26&lt;&gt;0),E26&gt;F26),"błąd"))</f>
        <v>0</v>
      </c>
      <c r="H26" s="18">
        <f t="shared" si="0"/>
        <v>0</v>
      </c>
      <c r="J26" s="139" t="str">
        <f>IF(G26="błąd","niedostępne w wersji okienkowej"," ")</f>
        <v xml:space="preserve"> </v>
      </c>
    </row>
    <row r="27" spans="1:10" ht="15.6" x14ac:dyDescent="0.3">
      <c r="A27" s="151" t="s">
        <v>165</v>
      </c>
      <c r="B27" s="26" t="s">
        <v>30</v>
      </c>
      <c r="C27" s="22">
        <f>VLOOKUP($A27,moduly_podstawowe[],4,FALSE)</f>
        <v>8320</v>
      </c>
      <c r="D27" s="19">
        <f>VLOOKUP($A27,moduly_podstawowe[],5,FALSE)</f>
        <v>8320</v>
      </c>
      <c r="E27" s="20">
        <v>0</v>
      </c>
      <c r="F27" s="155">
        <v>0</v>
      </c>
      <c r="G27" s="21">
        <f>IF(F27=0,C27*E27,IF(OR(AND(E27=0,F27&lt;&gt;0),F27&gt;E27),"błąd",((E27-F27)*C27)+(D27*F27)))</f>
        <v>0</v>
      </c>
      <c r="H27" s="18">
        <f t="shared" si="0"/>
        <v>0</v>
      </c>
      <c r="J27" s="139"/>
    </row>
    <row r="28" spans="1:10" ht="15.6" x14ac:dyDescent="0.3">
      <c r="A28" s="79" t="s">
        <v>19</v>
      </c>
      <c r="B28" s="50"/>
      <c r="C28" s="144"/>
      <c r="D28" s="144"/>
      <c r="E28" s="50"/>
      <c r="F28" s="146"/>
      <c r="G28" s="33">
        <f>SUM(G3:G27)</f>
        <v>0</v>
      </c>
      <c r="H28" s="18">
        <f t="shared" si="0"/>
        <v>0</v>
      </c>
    </row>
    <row r="29" spans="1:10" ht="31.2" x14ac:dyDescent="0.3">
      <c r="A29" s="81"/>
      <c r="B29" s="82"/>
      <c r="C29" s="145" t="s">
        <v>144</v>
      </c>
      <c r="D29" s="145" t="s">
        <v>145</v>
      </c>
      <c r="E29" s="191" t="s">
        <v>164</v>
      </c>
      <c r="F29" s="179"/>
      <c r="G29" s="41"/>
    </row>
    <row r="30" spans="1:10" ht="45" customHeight="1" x14ac:dyDescent="0.3">
      <c r="A30" s="149" t="s">
        <v>146</v>
      </c>
      <c r="B30" s="128" t="s">
        <v>147</v>
      </c>
      <c r="C30" s="19">
        <f>VLOOKUP($A30,user[],4,FALSE)</f>
        <v>3800</v>
      </c>
      <c r="D30" s="19">
        <f>VLOOKUP($A30,user[],5,FALSE)</f>
        <v>4390</v>
      </c>
      <c r="E30" s="192">
        <v>0</v>
      </c>
      <c r="F30" s="193"/>
      <c r="G30" s="21">
        <f>IF(SUM(F3:F27)&gt;0,E30*D30,E30*C30)</f>
        <v>0</v>
      </c>
      <c r="H30" s="18">
        <f t="shared" si="0"/>
        <v>0</v>
      </c>
      <c r="J30" s="139" t="str">
        <f>IF(AND(E30&lt;25,E30&gt;0),"przy pierwszym zakupie min. 25 stanowisk","")</f>
        <v/>
      </c>
    </row>
    <row r="31" spans="1:10" customFormat="1" ht="15.6" x14ac:dyDescent="0.3">
      <c r="A31" s="188" t="s">
        <v>97</v>
      </c>
      <c r="B31" s="189"/>
      <c r="C31" s="190"/>
      <c r="D31" s="27"/>
      <c r="E31" s="107"/>
      <c r="F31" s="108"/>
      <c r="G31" s="103"/>
      <c r="H31" s="90">
        <f>H33</f>
        <v>0</v>
      </c>
    </row>
    <row r="32" spans="1:10" customFormat="1" ht="15.6" x14ac:dyDescent="0.3">
      <c r="A32" s="104" t="s">
        <v>143</v>
      </c>
      <c r="B32" s="20" t="s">
        <v>5</v>
      </c>
      <c r="C32" s="19"/>
      <c r="D32" s="19" t="str">
        <f>IFERROR(VLOOKUP(E30,'Cennik enova365'!$A$123:$D$124,2,TRUE)," ")</f>
        <v xml:space="preserve"> </v>
      </c>
      <c r="E32" s="20" t="s">
        <v>4</v>
      </c>
      <c r="F32" s="28"/>
      <c r="G32" s="21">
        <f>IF(E32="TAK",D32,0)</f>
        <v>0</v>
      </c>
      <c r="H32" s="90">
        <f t="shared" ref="H32:H33" si="2">IF(G32&gt;0,1,0)</f>
        <v>0</v>
      </c>
    </row>
    <row r="33" spans="1:14" customFormat="1" ht="15.6" x14ac:dyDescent="0.3">
      <c r="A33" s="91" t="s">
        <v>72</v>
      </c>
      <c r="B33" s="106"/>
      <c r="C33" s="92"/>
      <c r="D33" s="92"/>
      <c r="E33" s="93"/>
      <c r="F33" s="94"/>
      <c r="G33" s="23">
        <f>SUM(G32:G32)</f>
        <v>0</v>
      </c>
      <c r="H33" s="90">
        <f t="shared" si="2"/>
        <v>0</v>
      </c>
    </row>
    <row r="34" spans="1:14" ht="47.25" customHeight="1" x14ac:dyDescent="0.3">
      <c r="A34" s="177" t="s">
        <v>99</v>
      </c>
      <c r="B34" s="178"/>
      <c r="C34" s="179"/>
      <c r="D34" s="69" t="s">
        <v>63</v>
      </c>
      <c r="E34" s="82"/>
      <c r="F34" s="40"/>
      <c r="G34" s="70"/>
      <c r="H34" s="18">
        <f>H62</f>
        <v>0</v>
      </c>
    </row>
    <row r="35" spans="1:14" ht="15.6" x14ac:dyDescent="0.3">
      <c r="A35" s="180" t="s">
        <v>76</v>
      </c>
      <c r="B35" s="181"/>
      <c r="C35" s="182"/>
      <c r="D35" s="22">
        <f>'Cennik enova365'!B38</f>
        <v>3770</v>
      </c>
      <c r="E35" s="20" t="s">
        <v>4</v>
      </c>
      <c r="F35" s="28"/>
      <c r="G35" s="21">
        <v>0</v>
      </c>
      <c r="H35" s="18">
        <f>IF(E35="TAK",1,0)</f>
        <v>0</v>
      </c>
      <c r="I35" s="184"/>
      <c r="J35" s="184"/>
      <c r="K35" s="184"/>
      <c r="L35" s="184"/>
      <c r="M35" s="184"/>
      <c r="N35" s="184"/>
    </row>
    <row r="36" spans="1:14" ht="15.6" x14ac:dyDescent="0.3">
      <c r="A36" s="180" t="s">
        <v>38</v>
      </c>
      <c r="B36" s="181"/>
      <c r="C36" s="182"/>
      <c r="D36" s="22">
        <f>'Cennik enova365'!B39</f>
        <v>3770</v>
      </c>
      <c r="E36" s="20" t="s">
        <v>4</v>
      </c>
      <c r="F36" s="28"/>
      <c r="G36" s="21">
        <v>0</v>
      </c>
      <c r="H36" s="18">
        <f t="shared" ref="H36:H61" si="3">IF(E36="TAK",1,0)</f>
        <v>0</v>
      </c>
    </row>
    <row r="37" spans="1:14" ht="15.6" x14ac:dyDescent="0.3">
      <c r="A37" s="180" t="s">
        <v>77</v>
      </c>
      <c r="B37" s="181"/>
      <c r="C37" s="182"/>
      <c r="D37" s="22">
        <f>'Cennik enova365'!B40</f>
        <v>11400</v>
      </c>
      <c r="E37" s="20" t="s">
        <v>4</v>
      </c>
      <c r="F37" s="28"/>
      <c r="G37" s="21">
        <v>0</v>
      </c>
      <c r="H37" s="18">
        <f t="shared" si="3"/>
        <v>0</v>
      </c>
    </row>
    <row r="38" spans="1:14" ht="15.6" x14ac:dyDescent="0.3">
      <c r="A38" s="180" t="s">
        <v>78</v>
      </c>
      <c r="B38" s="181"/>
      <c r="C38" s="182"/>
      <c r="D38" s="22">
        <f>'Cennik enova365'!B41</f>
        <v>1060</v>
      </c>
      <c r="E38" s="20" t="s">
        <v>4</v>
      </c>
      <c r="F38" s="28"/>
      <c r="G38" s="21">
        <v>0</v>
      </c>
      <c r="H38" s="18">
        <f t="shared" si="3"/>
        <v>0</v>
      </c>
    </row>
    <row r="39" spans="1:14" ht="15.6" x14ac:dyDescent="0.3">
      <c r="A39" s="180" t="s">
        <v>39</v>
      </c>
      <c r="B39" s="181"/>
      <c r="C39" s="182"/>
      <c r="D39" s="22">
        <f>'Cennik enova365'!B42</f>
        <v>3020</v>
      </c>
      <c r="E39" s="20" t="s">
        <v>4</v>
      </c>
      <c r="F39" s="28"/>
      <c r="G39" s="21">
        <v>0</v>
      </c>
      <c r="H39" s="18">
        <f t="shared" si="3"/>
        <v>0</v>
      </c>
    </row>
    <row r="40" spans="1:14" ht="15.6" x14ac:dyDescent="0.3">
      <c r="A40" s="180" t="s">
        <v>79</v>
      </c>
      <c r="B40" s="181"/>
      <c r="C40" s="182"/>
      <c r="D40" s="22">
        <f>'Cennik enova365'!B43</f>
        <v>3020</v>
      </c>
      <c r="E40" s="20" t="s">
        <v>4</v>
      </c>
      <c r="F40" s="28"/>
      <c r="G40" s="21">
        <v>0</v>
      </c>
      <c r="H40" s="18">
        <f t="shared" si="3"/>
        <v>0</v>
      </c>
    </row>
    <row r="41" spans="1:14" ht="15.6" x14ac:dyDescent="0.3">
      <c r="A41" s="180" t="s">
        <v>75</v>
      </c>
      <c r="B41" s="181"/>
      <c r="C41" s="182"/>
      <c r="D41" s="22">
        <f>'Cennik enova365'!B44</f>
        <v>2270</v>
      </c>
      <c r="E41" s="20" t="s">
        <v>4</v>
      </c>
      <c r="F41" s="28"/>
      <c r="G41" s="21">
        <v>0</v>
      </c>
      <c r="H41" s="18">
        <f t="shared" si="3"/>
        <v>0</v>
      </c>
    </row>
    <row r="42" spans="1:14" ht="15.6" x14ac:dyDescent="0.3">
      <c r="A42" s="180" t="s">
        <v>152</v>
      </c>
      <c r="B42" s="181"/>
      <c r="C42" s="182"/>
      <c r="D42" s="22">
        <f>'Cennik enova365'!B45</f>
        <v>6520</v>
      </c>
      <c r="E42" s="20" t="s">
        <v>4</v>
      </c>
      <c r="F42" s="28"/>
      <c r="G42" s="21">
        <v>0</v>
      </c>
      <c r="H42" s="18">
        <f t="shared" si="3"/>
        <v>0</v>
      </c>
    </row>
    <row r="43" spans="1:14" ht="15.6" x14ac:dyDescent="0.3">
      <c r="A43" s="180" t="s">
        <v>111</v>
      </c>
      <c r="B43" s="181"/>
      <c r="C43" s="182"/>
      <c r="D43" s="22">
        <f>'Cennik enova365'!B46</f>
        <v>1360</v>
      </c>
      <c r="E43" s="20" t="s">
        <v>4</v>
      </c>
      <c r="F43" s="28"/>
      <c r="G43" s="21">
        <v>0</v>
      </c>
      <c r="H43" s="18">
        <f t="shared" si="3"/>
        <v>0</v>
      </c>
    </row>
    <row r="44" spans="1:14" ht="15.6" x14ac:dyDescent="0.3">
      <c r="A44" s="180" t="s">
        <v>174</v>
      </c>
      <c r="B44" s="181"/>
      <c r="C44" s="182"/>
      <c r="D44" s="22">
        <f>'Cennik enova365'!B47</f>
        <v>3640</v>
      </c>
      <c r="E44" s="20" t="s">
        <v>4</v>
      </c>
      <c r="F44" s="28"/>
      <c r="G44" s="21">
        <v>0</v>
      </c>
      <c r="H44" s="18">
        <f t="shared" si="3"/>
        <v>0</v>
      </c>
    </row>
    <row r="45" spans="1:14" ht="15.6" x14ac:dyDescent="0.3">
      <c r="A45" s="180" t="s">
        <v>70</v>
      </c>
      <c r="B45" s="181"/>
      <c r="C45" s="182"/>
      <c r="D45" s="22">
        <f>'Cennik enova365'!B48</f>
        <v>3770</v>
      </c>
      <c r="E45" s="20" t="s">
        <v>4</v>
      </c>
      <c r="F45" s="28"/>
      <c r="G45" s="21">
        <v>0</v>
      </c>
      <c r="H45" s="18">
        <f t="shared" si="3"/>
        <v>0</v>
      </c>
    </row>
    <row r="46" spans="1:14" ht="15.6" x14ac:dyDescent="0.3">
      <c r="A46" s="180" t="s">
        <v>33</v>
      </c>
      <c r="B46" s="181"/>
      <c r="C46" s="182"/>
      <c r="D46" s="22">
        <f>'Cennik enova365'!B49</f>
        <v>3020</v>
      </c>
      <c r="E46" s="20" t="s">
        <v>4</v>
      </c>
      <c r="F46" s="28"/>
      <c r="G46" s="21">
        <v>0</v>
      </c>
      <c r="H46" s="18">
        <f t="shared" si="3"/>
        <v>0</v>
      </c>
    </row>
    <row r="47" spans="1:14" ht="15.6" x14ac:dyDescent="0.3">
      <c r="A47" s="180" t="s">
        <v>34</v>
      </c>
      <c r="B47" s="181"/>
      <c r="C47" s="182"/>
      <c r="D47" s="22">
        <f>'Cennik enova365'!B50</f>
        <v>3330</v>
      </c>
      <c r="E47" s="20" t="s">
        <v>4</v>
      </c>
      <c r="F47" s="28"/>
      <c r="G47" s="21">
        <v>0</v>
      </c>
      <c r="H47" s="18">
        <f t="shared" si="3"/>
        <v>0</v>
      </c>
    </row>
    <row r="48" spans="1:14" ht="15.6" x14ac:dyDescent="0.3">
      <c r="A48" s="180" t="s">
        <v>35</v>
      </c>
      <c r="B48" s="181"/>
      <c r="C48" s="182"/>
      <c r="D48" s="22">
        <f>'Cennik enova365'!B51</f>
        <v>3770</v>
      </c>
      <c r="E48" s="20" t="s">
        <v>4</v>
      </c>
      <c r="F48" s="28"/>
      <c r="G48" s="21">
        <v>0</v>
      </c>
      <c r="H48" s="18">
        <f t="shared" si="3"/>
        <v>0</v>
      </c>
    </row>
    <row r="49" spans="1:10" ht="15.6" x14ac:dyDescent="0.3">
      <c r="A49" s="180" t="s">
        <v>36</v>
      </c>
      <c r="B49" s="181"/>
      <c r="C49" s="182"/>
      <c r="D49" s="22">
        <f>'Cennik enova365'!B52</f>
        <v>2270</v>
      </c>
      <c r="E49" s="20" t="s">
        <v>4</v>
      </c>
      <c r="F49" s="28"/>
      <c r="G49" s="21">
        <v>0</v>
      </c>
      <c r="H49" s="18">
        <f t="shared" si="3"/>
        <v>0</v>
      </c>
    </row>
    <row r="50" spans="1:10" ht="15.6" x14ac:dyDescent="0.3">
      <c r="A50" s="180" t="s">
        <v>37</v>
      </c>
      <c r="B50" s="181"/>
      <c r="C50" s="182"/>
      <c r="D50" s="22">
        <f>'Cennik enova365'!B53</f>
        <v>2270</v>
      </c>
      <c r="E50" s="20" t="s">
        <v>4</v>
      </c>
      <c r="F50" s="28"/>
      <c r="G50" s="21">
        <v>0</v>
      </c>
      <c r="H50" s="18">
        <f t="shared" si="3"/>
        <v>0</v>
      </c>
    </row>
    <row r="51" spans="1:10" ht="15.6" x14ac:dyDescent="0.3">
      <c r="A51" s="180" t="s">
        <v>44</v>
      </c>
      <c r="B51" s="181"/>
      <c r="C51" s="182"/>
      <c r="D51" s="22">
        <f>'Cennik enova365'!B54</f>
        <v>1100</v>
      </c>
      <c r="E51" s="20" t="s">
        <v>4</v>
      </c>
      <c r="F51" s="28"/>
      <c r="G51" s="21">
        <v>0</v>
      </c>
      <c r="H51" s="18">
        <f t="shared" si="3"/>
        <v>0</v>
      </c>
    </row>
    <row r="52" spans="1:10" ht="15.6" x14ac:dyDescent="0.3">
      <c r="A52" s="180" t="s">
        <v>80</v>
      </c>
      <c r="B52" s="181"/>
      <c r="C52" s="182"/>
      <c r="D52" s="22">
        <f>'Cennik enova365'!B55</f>
        <v>295</v>
      </c>
      <c r="E52" s="20" t="s">
        <v>4</v>
      </c>
      <c r="F52" s="28"/>
      <c r="G52" s="21">
        <v>0</v>
      </c>
      <c r="H52" s="18">
        <f t="shared" si="3"/>
        <v>0</v>
      </c>
    </row>
    <row r="53" spans="1:10" ht="15.6" x14ac:dyDescent="0.3">
      <c r="A53" s="180" t="s">
        <v>43</v>
      </c>
      <c r="B53" s="181"/>
      <c r="C53" s="182"/>
      <c r="D53" s="22">
        <f>'Cennik enova365'!B56</f>
        <v>3020</v>
      </c>
      <c r="E53" s="20" t="s">
        <v>4</v>
      </c>
      <c r="F53" s="28"/>
      <c r="G53" s="21">
        <v>0</v>
      </c>
      <c r="H53" s="18">
        <f t="shared" si="3"/>
        <v>0</v>
      </c>
    </row>
    <row r="54" spans="1:10" ht="15.6" x14ac:dyDescent="0.3">
      <c r="A54" s="180" t="s">
        <v>93</v>
      </c>
      <c r="B54" s="181"/>
      <c r="C54" s="182"/>
      <c r="D54" s="22">
        <f>'Cennik enova365'!B57</f>
        <v>3670</v>
      </c>
      <c r="E54" s="20" t="s">
        <v>4</v>
      </c>
      <c r="F54" s="28"/>
      <c r="G54" s="21">
        <v>0</v>
      </c>
      <c r="H54" s="18">
        <f t="shared" si="3"/>
        <v>0</v>
      </c>
    </row>
    <row r="55" spans="1:10" ht="15.6" x14ac:dyDescent="0.3">
      <c r="A55" s="180" t="s">
        <v>73</v>
      </c>
      <c r="B55" s="181"/>
      <c r="C55" s="182"/>
      <c r="D55" s="22">
        <f>'Cennik enova365'!B58</f>
        <v>7570</v>
      </c>
      <c r="E55" s="20" t="s">
        <v>4</v>
      </c>
      <c r="F55" s="28"/>
      <c r="G55" s="21">
        <v>0</v>
      </c>
      <c r="H55" s="18">
        <f t="shared" si="3"/>
        <v>0</v>
      </c>
    </row>
    <row r="56" spans="1:10" ht="15.6" x14ac:dyDescent="0.3">
      <c r="A56" s="180" t="s">
        <v>112</v>
      </c>
      <c r="B56" s="181"/>
      <c r="C56" s="182"/>
      <c r="D56" s="22">
        <f>'Cennik enova365'!B59</f>
        <v>2460</v>
      </c>
      <c r="E56" s="20" t="s">
        <v>4</v>
      </c>
      <c r="F56" s="28"/>
      <c r="G56" s="21">
        <v>0</v>
      </c>
      <c r="H56" s="18">
        <f t="shared" si="3"/>
        <v>0</v>
      </c>
    </row>
    <row r="57" spans="1:10" ht="15.6" x14ac:dyDescent="0.3">
      <c r="A57" s="180" t="s">
        <v>41</v>
      </c>
      <c r="B57" s="181"/>
      <c r="C57" s="182"/>
      <c r="D57" s="22">
        <f>'Cennik enova365'!B60</f>
        <v>1360</v>
      </c>
      <c r="E57" s="20" t="s">
        <v>4</v>
      </c>
      <c r="F57" s="28"/>
      <c r="G57" s="21">
        <v>0</v>
      </c>
      <c r="H57" s="18">
        <f t="shared" si="3"/>
        <v>0</v>
      </c>
    </row>
    <row r="58" spans="1:10" ht="15.6" x14ac:dyDescent="0.3">
      <c r="A58" s="180" t="s">
        <v>42</v>
      </c>
      <c r="B58" s="181"/>
      <c r="C58" s="182"/>
      <c r="D58" s="22">
        <f>'Cennik enova365'!B61</f>
        <v>1360</v>
      </c>
      <c r="E58" s="20" t="s">
        <v>4</v>
      </c>
      <c r="F58" s="28"/>
      <c r="G58" s="21">
        <v>0</v>
      </c>
      <c r="H58" s="18">
        <f t="shared" si="3"/>
        <v>0</v>
      </c>
    </row>
    <row r="59" spans="1:10" ht="15.6" x14ac:dyDescent="0.3">
      <c r="A59" s="180" t="s">
        <v>56</v>
      </c>
      <c r="B59" s="181"/>
      <c r="C59" s="182"/>
      <c r="D59" s="22">
        <f>'Cennik enova365'!B62</f>
        <v>3020</v>
      </c>
      <c r="E59" s="20" t="s">
        <v>4</v>
      </c>
      <c r="F59" s="28"/>
      <c r="G59" s="21">
        <v>0</v>
      </c>
      <c r="H59" s="18">
        <f t="shared" si="3"/>
        <v>0</v>
      </c>
    </row>
    <row r="60" spans="1:10" ht="15.6" x14ac:dyDescent="0.3">
      <c r="A60" s="180" t="s">
        <v>172</v>
      </c>
      <c r="B60" s="181"/>
      <c r="C60" s="182"/>
      <c r="D60" s="22">
        <f>'Cennik enova365'!B63</f>
        <v>2770</v>
      </c>
      <c r="E60" s="20" t="s">
        <v>4</v>
      </c>
      <c r="F60" s="28"/>
      <c r="G60" s="21">
        <v>0</v>
      </c>
      <c r="H60" s="18">
        <f t="shared" si="3"/>
        <v>0</v>
      </c>
    </row>
    <row r="61" spans="1:10" ht="15.6" x14ac:dyDescent="0.3">
      <c r="A61" s="180" t="s">
        <v>173</v>
      </c>
      <c r="B61" s="181"/>
      <c r="C61" s="182"/>
      <c r="D61" s="22">
        <f>'Cennik enova365'!B64</f>
        <v>16430</v>
      </c>
      <c r="E61" s="20" t="s">
        <v>4</v>
      </c>
      <c r="F61" s="28"/>
      <c r="G61" s="21">
        <f>IF(E61="TAK",D61,0)</f>
        <v>0</v>
      </c>
      <c r="H61" s="18">
        <f t="shared" si="3"/>
        <v>0</v>
      </c>
      <c r="J61" s="164" t="str">
        <f>IF(E61="TAK","dodatek płatny dla wszystkich wersji kolorystycznych enova365"," ")</f>
        <v xml:space="preserve"> </v>
      </c>
    </row>
    <row r="62" spans="1:10" ht="15.6" x14ac:dyDescent="0.3">
      <c r="A62" s="183" t="s">
        <v>29</v>
      </c>
      <c r="B62" s="172"/>
      <c r="C62" s="173"/>
      <c r="D62" s="51"/>
      <c r="E62" s="50"/>
      <c r="F62" s="52"/>
      <c r="G62" s="33">
        <f>SUM(G35:G61)</f>
        <v>0</v>
      </c>
      <c r="H62" s="18">
        <f>IF(SUM(H35:H59)&gt;0,1,0)</f>
        <v>0</v>
      </c>
    </row>
    <row r="63" spans="1:10" ht="33.6" customHeight="1" x14ac:dyDescent="0.3">
      <c r="A63" s="177" t="s">
        <v>100</v>
      </c>
      <c r="B63" s="178"/>
      <c r="C63" s="179"/>
      <c r="D63" s="42"/>
      <c r="E63" s="82" t="s">
        <v>28</v>
      </c>
      <c r="F63" s="40"/>
      <c r="G63" s="43"/>
      <c r="H63" s="18">
        <f>H64</f>
        <v>0</v>
      </c>
    </row>
    <row r="64" spans="1:10" ht="15.6" x14ac:dyDescent="0.3">
      <c r="A64" s="29" t="s">
        <v>50</v>
      </c>
      <c r="B64" s="26" t="s">
        <v>4</v>
      </c>
      <c r="C64" s="22" t="s">
        <v>27</v>
      </c>
      <c r="D64" s="22"/>
      <c r="E64" s="20">
        <v>0</v>
      </c>
      <c r="F64" s="28"/>
      <c r="G64" s="21">
        <v>0</v>
      </c>
      <c r="H64" s="18">
        <f>IF(B64="TAK",1,0)</f>
        <v>0</v>
      </c>
    </row>
    <row r="65" spans="1:8" ht="15.6" x14ac:dyDescent="0.3">
      <c r="A65" s="79" t="s">
        <v>10</v>
      </c>
      <c r="B65" s="50"/>
      <c r="C65" s="51"/>
      <c r="D65" s="51"/>
      <c r="E65" s="50"/>
      <c r="F65" s="52"/>
      <c r="G65" s="33">
        <f>SUM(G64:G64)</f>
        <v>0</v>
      </c>
      <c r="H65" s="18">
        <f>H64</f>
        <v>0</v>
      </c>
    </row>
    <row r="66" spans="1:8" ht="15.6" x14ac:dyDescent="0.3">
      <c r="A66" s="81" t="s">
        <v>26</v>
      </c>
      <c r="B66" s="82"/>
      <c r="C66" s="82"/>
      <c r="D66" s="82"/>
      <c r="E66" s="82" t="s">
        <v>23</v>
      </c>
      <c r="F66" s="40"/>
      <c r="G66" s="41"/>
      <c r="H66" s="18">
        <f>IF(G74&gt;0,1,0)</f>
        <v>0</v>
      </c>
    </row>
    <row r="67" spans="1:8" ht="15.6" x14ac:dyDescent="0.3">
      <c r="A67" s="29" t="s">
        <v>46</v>
      </c>
      <c r="B67" s="26" t="s">
        <v>4</v>
      </c>
      <c r="C67" s="19">
        <f>IF(E67="do 50 kont",'Cennik enova365'!B73,IF(E67="do 100 kont",'Cennik enova365'!B74,IF(E67="do 200 kont",'Cennik enova365'!B75,IF(E67="do 500 kont",'Cennik enova365'!B76,IF(E67="do 1000 kont",'Cennik enova365'!B77,IF(E67="powyżej 1000 kont",'Cennik enova365'!B78))))))</f>
        <v>4540</v>
      </c>
      <c r="D67" s="19"/>
      <c r="E67" s="20" t="s">
        <v>102</v>
      </c>
      <c r="F67" s="28"/>
      <c r="G67" s="21">
        <f>IF(B67="TAK",C67,0)</f>
        <v>0</v>
      </c>
      <c r="H67" s="18">
        <f t="shared" ref="H67:H79" si="4">IF(G67&gt;0,1,0)</f>
        <v>0</v>
      </c>
    </row>
    <row r="68" spans="1:8" ht="15.6" x14ac:dyDescent="0.3">
      <c r="A68" s="29" t="s">
        <v>21</v>
      </c>
      <c r="B68" s="26" t="s">
        <v>4</v>
      </c>
      <c r="C68" s="19">
        <f>'Cennik enova365'!B79</f>
        <v>305</v>
      </c>
      <c r="D68" s="19"/>
      <c r="E68" s="20">
        <v>0</v>
      </c>
      <c r="F68" s="28"/>
      <c r="G68" s="21">
        <f>IF(B68="TAK",C68*E68,0)</f>
        <v>0</v>
      </c>
      <c r="H68" s="18">
        <f t="shared" si="4"/>
        <v>0</v>
      </c>
    </row>
    <row r="69" spans="1:8" ht="15.6" x14ac:dyDescent="0.3">
      <c r="A69" s="29" t="s">
        <v>57</v>
      </c>
      <c r="B69" s="26" t="s">
        <v>4</v>
      </c>
      <c r="C69" s="19">
        <f>IF(E69="do 50 kont",'Cennik enova365'!B83,IF(E69="do 100 kont",'Cennik enova365'!B84,IF(E69="do 200 kont",'Cennik enova365'!B85,IF(E69="do 500 kont",'Cennik enova365'!B86,IF(E69="do 1000 kont",'Cennik enova365'!B87,IF(E69="powyżej 1000 kont",'Cennik enova365'!B88))))))</f>
        <v>3600</v>
      </c>
      <c r="D69" s="19"/>
      <c r="E69" s="20" t="s">
        <v>102</v>
      </c>
      <c r="F69" s="28"/>
      <c r="G69" s="21">
        <f>IF(B69="TAK",C69,0)</f>
        <v>0</v>
      </c>
      <c r="H69" s="18">
        <f t="shared" si="4"/>
        <v>0</v>
      </c>
    </row>
    <row r="70" spans="1:8" ht="15.6" x14ac:dyDescent="0.3">
      <c r="A70" s="29" t="s">
        <v>58</v>
      </c>
      <c r="B70" s="26" t="s">
        <v>4</v>
      </c>
      <c r="C70" s="19">
        <f>IF(E70="do 50 kont",'Cennik enova365'!B91,IF(E70="do 100 kont",'Cennik enova365'!B92,IF(E70="do 200 kont",'Cennik enova365'!B93,IF(E70="do 500 kont",'Cennik enova365'!B94,IF(E70="do 1000 kont",'Cennik enova365'!B95,IF(E70="powyżej 1000 kont",'Cennik enova365'!B96))))))</f>
        <v>2270</v>
      </c>
      <c r="D70" s="19"/>
      <c r="E70" s="20" t="s">
        <v>102</v>
      </c>
      <c r="F70" s="28"/>
      <c r="G70" s="21">
        <f t="shared" ref="G70:G73" si="5">IF(B70="TAK",C70,0)</f>
        <v>0</v>
      </c>
      <c r="H70" s="18">
        <f t="shared" si="4"/>
        <v>0</v>
      </c>
    </row>
    <row r="71" spans="1:8" ht="15.6" x14ac:dyDescent="0.3">
      <c r="A71" s="29" t="s">
        <v>151</v>
      </c>
      <c r="B71" s="26" t="s">
        <v>4</v>
      </c>
      <c r="C71" s="19">
        <f>IF(E71="do 50 kont",'Cennik enova365'!B107,IF(E71="do 100 kont",'Cennik enova365'!B108,IF(E71="do 200 kont",'Cennik enova365'!B109,IF(E71="do 500 kont",'Cennik enova365'!B110,IF(E71="do 1000 kont",'Cennik enova365'!B111,IF(E71="powyżej 1000 kont",'Cennik enova365'!B112))))))</f>
        <v>1290</v>
      </c>
      <c r="D71" s="19"/>
      <c r="E71" s="20" t="s">
        <v>102</v>
      </c>
      <c r="F71" s="28"/>
      <c r="G71" s="21">
        <f t="shared" si="5"/>
        <v>0</v>
      </c>
      <c r="H71" s="18">
        <f t="shared" si="4"/>
        <v>0</v>
      </c>
    </row>
    <row r="72" spans="1:8" ht="15.6" x14ac:dyDescent="0.3">
      <c r="A72" s="29" t="s">
        <v>166</v>
      </c>
      <c r="B72" s="26" t="s">
        <v>4</v>
      </c>
      <c r="C72" s="19">
        <f>IF(E72="do 50 kont",'Cennik enova365'!B115,IF(E72="do 100 kont",'Cennik enova365'!B116,IF(E72="do 200 kont",'Cennik enova365'!B117,IF(E72="do 500 kont",'Cennik enova365'!B118,IF(E72="do 1000 kont",'Cennik enova365'!B119,IF(E72="powyżej 1000 kont",'Cennik enova365'!B120))))))</f>
        <v>2160</v>
      </c>
      <c r="D72" s="19"/>
      <c r="E72" s="20" t="s">
        <v>102</v>
      </c>
      <c r="F72" s="28"/>
      <c r="G72" s="21">
        <f t="shared" si="5"/>
        <v>0</v>
      </c>
      <c r="H72" s="18">
        <f t="shared" si="4"/>
        <v>0</v>
      </c>
    </row>
    <row r="73" spans="1:8" ht="15.6" x14ac:dyDescent="0.3">
      <c r="A73" s="29" t="s">
        <v>74</v>
      </c>
      <c r="B73" s="26" t="s">
        <v>4</v>
      </c>
      <c r="C73" s="19">
        <f>'Cennik enova365'!B80</f>
        <v>7520</v>
      </c>
      <c r="D73" s="19"/>
      <c r="E73" s="19"/>
      <c r="F73" s="28"/>
      <c r="G73" s="21">
        <f t="shared" si="5"/>
        <v>0</v>
      </c>
      <c r="H73" s="18">
        <f t="shared" si="4"/>
        <v>0</v>
      </c>
    </row>
    <row r="74" spans="1:8" ht="15.6" x14ac:dyDescent="0.3">
      <c r="A74" s="79" t="s">
        <v>22</v>
      </c>
      <c r="B74" s="171"/>
      <c r="C74" s="172"/>
      <c r="D74" s="173"/>
      <c r="E74" s="38"/>
      <c r="F74" s="39"/>
      <c r="G74" s="33">
        <f>SUM(G67:G73)</f>
        <v>0</v>
      </c>
      <c r="H74" s="18">
        <f t="shared" si="4"/>
        <v>0</v>
      </c>
    </row>
    <row r="75" spans="1:8" ht="15.6" x14ac:dyDescent="0.3">
      <c r="A75" s="194" t="s">
        <v>62</v>
      </c>
      <c r="B75" s="196"/>
      <c r="C75" s="197"/>
      <c r="D75" s="198"/>
      <c r="E75" s="80" t="s">
        <v>17</v>
      </c>
      <c r="F75" s="83"/>
      <c r="G75" s="33"/>
      <c r="H75" s="18">
        <f>IF(G76&gt;0,1,0)</f>
        <v>0</v>
      </c>
    </row>
    <row r="76" spans="1:8" ht="15.6" x14ac:dyDescent="0.3">
      <c r="A76" s="195"/>
      <c r="B76" s="199" t="s">
        <v>101</v>
      </c>
      <c r="C76" s="200"/>
      <c r="D76" s="201"/>
      <c r="E76" s="71"/>
      <c r="F76" s="83"/>
      <c r="G76" s="33">
        <f>(G74*0.05)*(E76)</f>
        <v>0</v>
      </c>
      <c r="H76" s="18">
        <f t="shared" si="4"/>
        <v>0</v>
      </c>
    </row>
    <row r="77" spans="1:8" ht="15.6" x14ac:dyDescent="0.3">
      <c r="A77" s="79"/>
      <c r="B77" s="171"/>
      <c r="C77" s="172"/>
      <c r="D77" s="173"/>
      <c r="E77" s="30"/>
      <c r="F77" s="32"/>
      <c r="G77" s="33"/>
      <c r="H77" s="18">
        <f t="shared" si="4"/>
        <v>0</v>
      </c>
    </row>
    <row r="78" spans="1:8" ht="15.6" x14ac:dyDescent="0.3">
      <c r="A78" s="79" t="s">
        <v>61</v>
      </c>
      <c r="B78" s="171"/>
      <c r="C78" s="172"/>
      <c r="D78" s="173"/>
      <c r="E78" s="38"/>
      <c r="F78" s="39"/>
      <c r="G78" s="33">
        <f>G76+G74</f>
        <v>0</v>
      </c>
      <c r="H78" s="18">
        <f t="shared" si="4"/>
        <v>0</v>
      </c>
    </row>
    <row r="79" spans="1:8" ht="15" customHeight="1" x14ac:dyDescent="0.35">
      <c r="A79" s="74" t="s">
        <v>52</v>
      </c>
      <c r="B79" s="75"/>
      <c r="C79" s="76"/>
      <c r="D79" s="77"/>
      <c r="E79" s="113"/>
      <c r="F79" s="53"/>
      <c r="G79" s="111">
        <f>G28+G30+G62+G65+G33</f>
        <v>0</v>
      </c>
      <c r="H79" s="73">
        <f t="shared" si="4"/>
        <v>0</v>
      </c>
    </row>
    <row r="80" spans="1:8" ht="31.2" x14ac:dyDescent="0.35">
      <c r="A80" s="54" t="s">
        <v>53</v>
      </c>
      <c r="B80" s="116" t="s">
        <v>60</v>
      </c>
      <c r="C80" s="118"/>
      <c r="D80" s="55"/>
      <c r="E80" s="56" t="s">
        <v>17</v>
      </c>
      <c r="F80" s="57"/>
      <c r="G80" s="117">
        <f>IF(AND(E81&gt;5,E81&lt;11),(G79*(E81-5)*0.1),IF(AND(E81&gt;10,E81&lt;21),(G79*5*0.1+G79*(E81-10)*5%),IF(AND(E81&gt;20,E81&lt;51),(G79*5*10%+G79*10*5%+G79*(E81-20)*2.5%),IF(E81&gt;50,(G79*5*10%+G79*10*5%+G79*30*2.5%+G79*(E81-50)*1%),0))))</f>
        <v>0</v>
      </c>
      <c r="H80" s="73">
        <f>IF(G80&gt;0,1,0)</f>
        <v>0</v>
      </c>
    </row>
    <row r="81" spans="1:10" ht="15.75" customHeight="1" x14ac:dyDescent="0.35">
      <c r="A81" s="58"/>
      <c r="B81" s="114"/>
      <c r="C81" s="119"/>
      <c r="D81" s="115"/>
      <c r="E81" s="71">
        <v>0</v>
      </c>
      <c r="F81" s="57"/>
      <c r="G81" s="112"/>
      <c r="H81" s="73">
        <f>IF(E81&gt;0,1,0)</f>
        <v>0</v>
      </c>
    </row>
    <row r="82" spans="1:10" ht="20.25" customHeight="1" x14ac:dyDescent="0.35">
      <c r="A82" s="59" t="s">
        <v>55</v>
      </c>
      <c r="B82" s="60"/>
      <c r="C82" s="60"/>
      <c r="D82" s="60"/>
      <c r="E82" s="60"/>
      <c r="F82" s="61"/>
      <c r="G82" s="62">
        <f>G79+G80+G78</f>
        <v>0</v>
      </c>
      <c r="H82" s="18">
        <f t="shared" ref="H82:H90" si="6">IF(G82&gt;0,1,0)</f>
        <v>0</v>
      </c>
    </row>
    <row r="83" spans="1:10" s="110" customFormat="1" ht="19.5" customHeight="1" x14ac:dyDescent="0.35">
      <c r="A83" s="63"/>
      <c r="B83" s="84" t="s">
        <v>11</v>
      </c>
      <c r="C83" s="85">
        <v>0</v>
      </c>
      <c r="D83" s="86"/>
      <c r="E83" s="87" t="s">
        <v>4</v>
      </c>
      <c r="F83" s="88"/>
      <c r="G83" s="89">
        <f>IF(E83="TAK",G82*C83,0)</f>
        <v>0</v>
      </c>
      <c r="H83" s="18">
        <f t="shared" si="6"/>
        <v>0</v>
      </c>
    </row>
    <row r="84" spans="1:10" ht="18.75" customHeight="1" x14ac:dyDescent="0.35">
      <c r="A84" s="64"/>
      <c r="B84" s="60" t="s">
        <v>12</v>
      </c>
      <c r="C84" s="132"/>
      <c r="D84" s="132"/>
      <c r="E84" s="133"/>
      <c r="F84" s="133"/>
      <c r="G84" s="134">
        <f>G83</f>
        <v>0</v>
      </c>
      <c r="H84" s="18">
        <f t="shared" si="6"/>
        <v>0</v>
      </c>
    </row>
    <row r="85" spans="1:10" ht="18.75" customHeight="1" x14ac:dyDescent="0.3">
      <c r="A85" s="81" t="s">
        <v>81</v>
      </c>
      <c r="B85" s="24"/>
      <c r="C85" s="27"/>
      <c r="D85" s="27"/>
      <c r="E85" s="95" t="s">
        <v>24</v>
      </c>
      <c r="F85" s="96"/>
      <c r="G85" s="25"/>
      <c r="H85" s="18">
        <f t="shared" si="6"/>
        <v>0</v>
      </c>
    </row>
    <row r="86" spans="1:10" ht="34.200000000000003" customHeight="1" x14ac:dyDescent="0.3">
      <c r="A86" s="29" t="s">
        <v>81</v>
      </c>
      <c r="B86" s="128" t="s">
        <v>4</v>
      </c>
      <c r="C86" s="130">
        <f>IF(E86="5 000 stron rocznie",'Cennik enova365'!B127,IF(E86="10 000 stron rocznie",'Cennik enova365'!B128,IF(E86="15 000 stron rocznie",'Cennik enova365'!B129,IF(E86="20 000 stron rocznie",'Cennik enova365'!B130,IF(E86="25 000 stron rocznie",'Cennik enova365'!B131,IF(E86="30 000 stron rocznie",'Cennik enova365'!B132,IF(E86="35 000 stron rocznie",'Cennik enova365'!B133,IF(E86="40 000 stron rocznie",'Cennik enova365'!B134,IF(E86="45 000 stron rocznie",'Cennik enova365'!B135,IF(E86="50 000 stron rocznie",'Cennik enova365'!B136,IF(E86="55 000 stron rocznie",'Cennik enova365'!B137,IF(E86="60 000 stron rocznie",'Cennik enova365'!B138,IF(E86="powyżej 60 000 stron rocznie",'Cennik enova365'!B139)))))))))))))</f>
        <v>934</v>
      </c>
      <c r="D86" s="19" t="s">
        <v>162</v>
      </c>
      <c r="E86" s="97" t="s">
        <v>87</v>
      </c>
      <c r="F86" s="28"/>
      <c r="G86" s="131">
        <f>IF(B86="TAK",C86,0)</f>
        <v>0</v>
      </c>
      <c r="H86" s="18">
        <f t="shared" si="6"/>
        <v>0</v>
      </c>
      <c r="J86" s="154" t="str">
        <f>IF(B86="TAK","Licencję należy odnowić po roku"," ")</f>
        <v xml:space="preserve"> </v>
      </c>
    </row>
    <row r="87" spans="1:10" ht="18.75" customHeight="1" x14ac:dyDescent="0.3">
      <c r="A87" s="79" t="s">
        <v>86</v>
      </c>
      <c r="B87" s="30"/>
      <c r="C87" s="31"/>
      <c r="D87" s="31"/>
      <c r="E87" s="30"/>
      <c r="F87" s="32"/>
      <c r="G87" s="33">
        <f>SUM(G86:G86)</f>
        <v>0</v>
      </c>
      <c r="H87" s="18">
        <f t="shared" si="6"/>
        <v>0</v>
      </c>
    </row>
    <row r="88" spans="1:10" ht="17.399999999999999" x14ac:dyDescent="0.35">
      <c r="A88" s="44" t="s">
        <v>13</v>
      </c>
      <c r="B88" s="65"/>
      <c r="C88" s="65"/>
      <c r="D88" s="65"/>
      <c r="E88" s="65"/>
      <c r="F88" s="66"/>
      <c r="G88" s="67">
        <f>G82-G84+G87</f>
        <v>0</v>
      </c>
      <c r="H88" s="18">
        <f t="shared" si="6"/>
        <v>0</v>
      </c>
    </row>
    <row r="89" spans="1:10" ht="15.6" x14ac:dyDescent="0.3">
      <c r="A89" s="45" t="s">
        <v>14</v>
      </c>
      <c r="B89" s="46"/>
      <c r="C89" s="46"/>
      <c r="D89" s="46"/>
      <c r="E89" s="46"/>
      <c r="F89" s="47"/>
      <c r="G89" s="48">
        <f>G88*1.23</f>
        <v>0</v>
      </c>
      <c r="H89" s="18">
        <f t="shared" si="6"/>
        <v>0</v>
      </c>
    </row>
    <row r="90" spans="1:10" ht="33" customHeight="1" x14ac:dyDescent="0.3">
      <c r="A90" s="174" t="s">
        <v>82</v>
      </c>
      <c r="B90" s="175"/>
      <c r="C90" s="175"/>
      <c r="D90" s="175"/>
      <c r="E90" s="175"/>
      <c r="F90" s="176"/>
      <c r="G90" s="101">
        <f>((G82)*'Cennik enova365'!$G$44)</f>
        <v>0</v>
      </c>
      <c r="H90" s="18">
        <f t="shared" si="6"/>
        <v>0</v>
      </c>
    </row>
    <row r="91" spans="1:10" x14ac:dyDescent="0.3">
      <c r="A91" s="34" t="s">
        <v>64</v>
      </c>
      <c r="B91" s="35"/>
      <c r="H91" s="18">
        <v>1</v>
      </c>
    </row>
    <row r="92" spans="1:10" x14ac:dyDescent="0.3">
      <c r="A92" s="34" t="s">
        <v>65</v>
      </c>
      <c r="B92" s="35"/>
      <c r="H92" s="18">
        <v>1</v>
      </c>
    </row>
    <row r="93" spans="1:10" x14ac:dyDescent="0.3">
      <c r="A93" s="36" t="s">
        <v>66</v>
      </c>
      <c r="B93" s="37"/>
      <c r="H93" s="18">
        <v>1</v>
      </c>
    </row>
    <row r="96" spans="1:10" x14ac:dyDescent="0.3">
      <c r="F96" s="98"/>
      <c r="G96" s="98"/>
      <c r="H96" s="98"/>
    </row>
    <row r="97" spans="6:10" x14ac:dyDescent="0.3">
      <c r="F97" s="98"/>
      <c r="G97" s="98"/>
      <c r="H97" s="98"/>
    </row>
    <row r="98" spans="6:10" x14ac:dyDescent="0.3">
      <c r="F98" s="98"/>
      <c r="J98" s="120"/>
    </row>
    <row r="99" spans="6:10" x14ac:dyDescent="0.3">
      <c r="F99" s="98"/>
      <c r="G99" s="121"/>
      <c r="H99" s="122"/>
      <c r="I99" s="120"/>
      <c r="J99" s="123"/>
    </row>
    <row r="100" spans="6:10" x14ac:dyDescent="0.3">
      <c r="F100" s="98"/>
      <c r="G100" s="124"/>
      <c r="H100" s="125"/>
      <c r="I100" s="120"/>
      <c r="J100" s="123"/>
    </row>
    <row r="101" spans="6:10" x14ac:dyDescent="0.3">
      <c r="F101" s="98"/>
      <c r="G101" s="124"/>
      <c r="H101" s="125"/>
      <c r="I101" s="120"/>
      <c r="J101" s="123"/>
    </row>
    <row r="102" spans="6:10" x14ac:dyDescent="0.3">
      <c r="F102" s="98"/>
      <c r="G102" s="124"/>
      <c r="H102" s="125"/>
      <c r="I102" s="120"/>
      <c r="J102" s="123"/>
    </row>
    <row r="103" spans="6:10" x14ac:dyDescent="0.3">
      <c r="F103" s="98"/>
      <c r="G103" s="126"/>
      <c r="H103" s="126"/>
      <c r="I103" s="126"/>
    </row>
    <row r="104" spans="6:10" x14ac:dyDescent="0.3">
      <c r="F104" s="98"/>
      <c r="G104" s="98"/>
      <c r="H104" s="98"/>
    </row>
    <row r="105" spans="6:10" x14ac:dyDescent="0.3">
      <c r="F105" s="98"/>
      <c r="G105" s="98"/>
      <c r="H105" s="98"/>
    </row>
    <row r="106" spans="6:10" x14ac:dyDescent="0.3">
      <c r="F106" s="98"/>
      <c r="G106" s="98"/>
      <c r="H106" s="98"/>
    </row>
    <row r="107" spans="6:10" x14ac:dyDescent="0.3">
      <c r="F107" s="98"/>
      <c r="G107" s="98"/>
      <c r="H107" s="98"/>
    </row>
    <row r="108" spans="6:10" x14ac:dyDescent="0.3">
      <c r="F108" s="98"/>
      <c r="G108" s="98"/>
      <c r="H108" s="98"/>
    </row>
    <row r="109" spans="6:10" x14ac:dyDescent="0.3">
      <c r="F109" s="98"/>
      <c r="G109" s="99"/>
      <c r="H109" s="98"/>
    </row>
    <row r="110" spans="6:10" x14ac:dyDescent="0.3">
      <c r="F110" s="98"/>
      <c r="G110" s="98"/>
      <c r="H110" s="98"/>
    </row>
  </sheetData>
  <autoFilter ref="H1:H93" xr:uid="{00000000-0009-0000-0000-000001000000}"/>
  <mergeCells count="42">
    <mergeCell ref="A2:C2"/>
    <mergeCell ref="A31:C31"/>
    <mergeCell ref="A40:C40"/>
    <mergeCell ref="A41:C41"/>
    <mergeCell ref="A34:C34"/>
    <mergeCell ref="A59:C59"/>
    <mergeCell ref="A90:F90"/>
    <mergeCell ref="B78:D78"/>
    <mergeCell ref="A62:C62"/>
    <mergeCell ref="A56:C56"/>
    <mergeCell ref="I35:N35"/>
    <mergeCell ref="B77:D77"/>
    <mergeCell ref="A63:C63"/>
    <mergeCell ref="A75:A76"/>
    <mergeCell ref="B74:D74"/>
    <mergeCell ref="B75:D75"/>
    <mergeCell ref="B76:D76"/>
    <mergeCell ref="A35:C35"/>
    <mergeCell ref="A36:C36"/>
    <mergeCell ref="A37:C37"/>
    <mergeCell ref="A38:C38"/>
    <mergeCell ref="A39:C39"/>
    <mergeCell ref="A61:C61"/>
    <mergeCell ref="A60:C60"/>
    <mergeCell ref="A57:C57"/>
    <mergeCell ref="A58:C58"/>
    <mergeCell ref="E30:F30"/>
    <mergeCell ref="E29:F29"/>
    <mergeCell ref="A53:C53"/>
    <mergeCell ref="A54:C54"/>
    <mergeCell ref="A55:C55"/>
    <mergeCell ref="A44:C44"/>
    <mergeCell ref="A50:C50"/>
    <mergeCell ref="A51:C51"/>
    <mergeCell ref="A52:C52"/>
    <mergeCell ref="A45:C45"/>
    <mergeCell ref="A46:C46"/>
    <mergeCell ref="A47:C47"/>
    <mergeCell ref="A48:C48"/>
    <mergeCell ref="A49:C49"/>
    <mergeCell ref="A42:C42"/>
    <mergeCell ref="A43:C43"/>
  </mergeCells>
  <dataValidations xWindow="1025" yWindow="405" count="21">
    <dataValidation allowBlank="1" showInputMessage="1" showErrorMessage="1" prompt="wpisz liczbę tabel" sqref="E64" xr:uid="{00000000-0002-0000-0100-000000000000}"/>
    <dataValidation allowBlank="1" showInputMessage="1" showErrorMessage="1" prompt="wpisz wartość rabatu" sqref="C83" xr:uid="{00000000-0002-0000-0100-000001000000}"/>
    <dataValidation allowBlank="1" showInputMessage="1" showErrorMessage="1" prompt="wpisz liczbę baz dodatkowych" sqref="E76" xr:uid="{00000000-0002-0000-0100-000002000000}"/>
    <dataValidation type="list" allowBlank="1" showInputMessage="1" showErrorMessage="1" sqref="B66" xr:uid="{00000000-0002-0000-0100-000003000000}">
      <formula1>$A$185:$A$187</formula1>
    </dataValidation>
    <dataValidation allowBlank="1" showInputMessage="1" showErrorMessage="1" prompt="wpisz liczbę wszystkich baz instalacji wielofirmowej" sqref="E81" xr:uid="{00000000-0002-0000-0100-000004000000}"/>
    <dataValidation allowBlank="1" showErrorMessage="1" prompt="wskaż przedział" sqref="F67" xr:uid="{00000000-0002-0000-0100-000005000000}"/>
    <dataValidation allowBlank="1" showErrorMessage="1" prompt="wpisz maksymalną liczbę stanowisk z największej bazy,_x000a_PRZYKŁAD:_x000a_Pulpit Kierownika będzie użytkowny w 3 bazach:_x000a_w 1. - 5 dostępów_x000a_w 2. - 3 dostepy_x000a_w 3. - 9 dostępów_x000a_w polu wpisujemy 9" sqref="F68" xr:uid="{00000000-0002-0000-0100-000006000000}"/>
    <dataValidation allowBlank="1" showErrorMessage="1" prompt="wpisz liczbę tabel" sqref="F64" xr:uid="{00000000-0002-0000-0100-000007000000}"/>
    <dataValidation allowBlank="1" showInputMessage="1" showErrorMessage="1" prompt="wpisz maksymalną liczbę kierowników z największej bazy,_x000a_PRZYKŁAD:_x000a_P.Kierownika będzie użytkowny w 2 bazach:_x000a_w 1. - 5 dostępów, w 2. - 3 dostępy_x000a_zatem wpisujemy 5" sqref="E68" xr:uid="{00000000-0002-0000-0100-000008000000}"/>
    <dataValidation allowBlank="1" showInputMessage="1" showErrorMessage="1" prompt="można dokupić jeżeli na licencji jest już min. jedno stanowsiko dowolnego modułu samodzielnego min. w wersji srebrnej (patrz powyżej zaznaczone na zielono)" sqref="E7" xr:uid="{00000000-0002-0000-0100-000009000000}"/>
    <dataValidation allowBlank="1" showInputMessage="1" showErrorMessage="1" prompt="na licencji musi być inny, dowolny moduł, którego działanie chcemy oprocesować" sqref="E20" xr:uid="{00000000-0002-0000-0100-00000A000000}"/>
    <dataValidation allowBlank="1" showInputMessage="1" showErrorMessage="1" prompt="dowolny moduł, który chcemy &quot;poglądać&quot;" sqref="E22" xr:uid="{00000000-0002-0000-0100-00000B000000}"/>
    <dataValidation allowBlank="1" showInputMessage="1" showErrorMessage="1" errorTitle="Wprowadź moduły podstawowe" error="wprowadź moduły podstawowe, wówczas paramerty BI uzupełnią się samodzielnie" promptTitle="Wartość wyliczy się samodzielnie" prompt="pamiętaj, że cena jest zależna od łącznej liczby stanowisk modułów podstawowych, wprowadź je wszystkie" sqref="D32" xr:uid="{00000000-0002-0000-0100-00000C000000}"/>
    <dataValidation allowBlank="1" showInputMessage="1" showErrorMessage="1" prompt="niedostępne w wersji okienkowej" sqref="E26" xr:uid="{00000000-0002-0000-0100-00000F000000}"/>
    <dataValidation allowBlank="1" showInputMessage="1" showErrorMessage="1" prompt="wymaga posiadania licencji na obszar Produkcja oraz Handel" sqref="F26" xr:uid="{00000000-0002-0000-0100-000010000000}"/>
    <dataValidation allowBlank="1" showInputMessage="1" showErrorMessage="1" prompt="wymaga posiadania licencji na obszar CRM oraz Handel" sqref="E10" xr:uid="{00000000-0002-0000-0100-000011000000}"/>
    <dataValidation allowBlank="1" showErrorMessage="1" sqref="E25" xr:uid="{00000000-0002-0000-0100-000012000000}"/>
    <dataValidation allowBlank="1" showInputMessage="1" showErrorMessage="1" prompt="wymaga posiadania licencji na obszar Handel" sqref="E11" xr:uid="{00000000-0002-0000-0100-000013000000}"/>
    <dataValidation type="custom" allowBlank="1" showInputMessage="1" showErrorMessage="1" sqref="B3:B27" xr:uid="{00000000-0002-0000-0100-000014000000}">
      <formula1>#REF!</formula1>
    </dataValidation>
    <dataValidation allowBlank="1" showInputMessage="1" showErrorMessage="1" prompt="wybierz obszary" sqref="E3" xr:uid="{04C6929A-C3A1-4364-9C4D-187BF9B12D95}"/>
    <dataValidation allowBlank="1" showErrorMessage="1" prompt="zaznacz odpowiednią opcję" sqref="F35:F61" xr:uid="{00000000-0002-0000-0100-00000D000000}"/>
  </dataValidations>
  <pageMargins left="0.7" right="0.7" top="0.75" bottom="0.75" header="0.3" footer="0.3"/>
  <pageSetup paperSize="9" orientation="portrait" horizontalDpi="300" r:id="rId1"/>
  <ignoredErrors>
    <ignoredError sqref="H66 H75 H81 G31:H31 G24" formula="1"/>
  </ignoredErrors>
  <extLst>
    <ext xmlns:x14="http://schemas.microsoft.com/office/spreadsheetml/2009/9/main" uri="{CCE6A557-97BC-4b89-ADB6-D9C93CAAB3DF}">
      <x14:dataValidations xmlns:xm="http://schemas.microsoft.com/office/excel/2006/main" xWindow="1025" yWindow="405" count="27">
        <x14:dataValidation type="list" allowBlank="1" showInputMessage="1" showErrorMessage="1" prompt="zaznacz odpowiednią opcję" xr:uid="{00000000-0002-0000-0100-000018000000}">
          <x14:formula1>
            <xm:f>'Cennik enova365'!$G$13:$G$14</xm:f>
          </x14:formula1>
          <xm:sqref>B64</xm:sqref>
        </x14:dataValidation>
        <x14:dataValidation type="list" allowBlank="1" showInputMessage="1" showErrorMessage="1" xr:uid="{00000000-0002-0000-0100-000019000000}">
          <x14:formula1>
            <xm:f>'Cennik enova365'!$G$13:$G$14</xm:f>
          </x14:formula1>
          <xm:sqref>E83</xm:sqref>
        </x14:dataValidation>
        <x14:dataValidation type="list" allowBlank="1" showInputMessage="1" showErrorMessage="1" prompt="wymaga obszaru CRM lub Projekty" xr:uid="{00000000-0002-0000-0100-00001A000000}">
          <x14:formula1>
            <xm:f>'Cennik enova365'!$G$13:$G$14</xm:f>
          </x14:formula1>
          <xm:sqref>E58</xm:sqref>
        </x14:dataValidation>
        <x14:dataValidation type="list" allowBlank="1" showInputMessage="1" showErrorMessage="1" prompt="wymaga obszaru Handel lub Faktury" xr:uid="{00000000-0002-0000-0100-00001B000000}">
          <x14:formula1>
            <xm:f>'Cennik enova365'!$G$13:$G$14</xm:f>
          </x14:formula1>
          <xm:sqref>E53:E54</xm:sqref>
        </x14:dataValidation>
        <x14:dataValidation type="list" allowBlank="1" showInputMessage="1" showErrorMessage="1" prompt="dowolny obszar" xr:uid="{00000000-0002-0000-0100-00001C000000}">
          <x14:formula1>
            <xm:f>'Cennik enova365'!$G$13:$G$14</xm:f>
          </x14:formula1>
          <xm:sqref>E52 E57 E59:E60</xm:sqref>
        </x14:dataValidation>
        <x14:dataValidation type="list" allowBlank="1" showInputMessage="1" showErrorMessage="1" prompt="wymaga obszaru Handel lub Faktury_x000a_" xr:uid="{00000000-0002-0000-0100-00001D000000}">
          <x14:formula1>
            <xm:f>'Cennik enova365'!$G$13:$G$14</xm:f>
          </x14:formula1>
          <xm:sqref>E51</xm:sqref>
        </x14:dataValidation>
        <x14:dataValidation type="list" allowBlank="1" showInputMessage="1" showErrorMessage="1" prompt="wymaga obszarów Kadry Płace i Handel" xr:uid="{00000000-0002-0000-0100-000020000000}">
          <x14:formula1>
            <xm:f>'Cennik enova365'!$G$13:$G$14</xm:f>
          </x14:formula1>
          <xm:sqref>E41</xm:sqref>
        </x14:dataValidation>
        <x14:dataValidation type="list" allowBlank="1" showInputMessage="1" showErrorMessage="1" prompt="dowolny obszar_x000a_(przynajmniej jedno, dowolne stanowsiko w ramach licencji Klienta musi być multi)" xr:uid="{00000000-0002-0000-0100-000021000000}">
          <x14:formula1>
            <xm:f>'Cennik enova365'!$G$13:$G$14</xm:f>
          </x14:formula1>
          <xm:sqref>E55</xm:sqref>
        </x14:dataValidation>
        <x14:dataValidation type="list" allowBlank="1" showInputMessage="1" showErrorMessage="1" prompt="wybierz przedział" xr:uid="{00000000-0002-0000-0100-000022000000}">
          <x14:formula1>
            <xm:f>'Cennik enova365'!$A$73:$A$78</xm:f>
          </x14:formula1>
          <xm:sqref>E67</xm:sqref>
        </x14:dataValidation>
        <x14:dataValidation type="list" allowBlank="1" showInputMessage="1" showErrorMessage="1" prompt="wymaga modułu Workflow oraz innego Pulpitu" xr:uid="{00000000-0002-0000-0100-000023000000}">
          <x14:formula1>
            <xm:f>'Cennik enova365'!$G$13:$G$14</xm:f>
          </x14:formula1>
          <xm:sqref>B70</xm:sqref>
        </x14:dataValidation>
        <x14:dataValidation type="list" allowBlank="1" showInputMessage="1" showErrorMessage="1" prompt="wymaga modułu Handel lub CRM " xr:uid="{00000000-0002-0000-0100-000024000000}">
          <x14:formula1>
            <xm:f>'Cennik enova365'!$G$13:$G$14</xm:f>
          </x14:formula1>
          <xm:sqref>B69</xm:sqref>
        </x14:dataValidation>
        <x14:dataValidation type="list" allowBlank="1" showInputMessage="1" showErrorMessage="1" prompt="wymaga Pulpitu Pracownika oraz modułu Kadry Płace" xr:uid="{00000000-0002-0000-0100-000025000000}">
          <x14:formula1>
            <xm:f>'Cennik enova365'!$G$13:$G$14</xm:f>
          </x14:formula1>
          <xm:sqref>B68</xm:sqref>
        </x14:dataValidation>
        <x14:dataValidation type="list" allowBlank="1" showInputMessage="1" showErrorMessage="1" prompt="wymaga modułu Kadry Płace" xr:uid="{00000000-0002-0000-0100-000026000000}">
          <x14:formula1>
            <xm:f>'Cennik enova365'!$G$13:$G$14</xm:f>
          </x14:formula1>
          <xm:sqref>B67</xm:sqref>
        </x14:dataValidation>
        <x14:dataValidation type="list" allowBlank="1" showInputMessage="1" showErrorMessage="1" prompt="wybierz przedział" xr:uid="{00000000-0002-0000-0100-000027000000}">
          <x14:formula1>
            <xm:f>'Cennik enova365'!$A$91:$A$96</xm:f>
          </x14:formula1>
          <xm:sqref>E70:E72</xm:sqref>
        </x14:dataValidation>
        <x14:dataValidation type="list" allowBlank="1" showInputMessage="1" showErrorMessage="1" prompt="wybierz przedział" xr:uid="{00000000-0002-0000-0100-000028000000}">
          <x14:formula1>
            <xm:f>'Cennik enova365'!$A$83:$A$88</xm:f>
          </x14:formula1>
          <xm:sqref>E69</xm:sqref>
        </x14:dataValidation>
        <x14:dataValidation type="list" allowBlank="1" showInputMessage="1" showErrorMessage="1" prompt="wymaga obszaru Handel" xr:uid="{00000000-0002-0000-0100-000029000000}">
          <x14:formula1>
            <xm:f>'Cennik enova365'!$G$13:$G$14</xm:f>
          </x14:formula1>
          <xm:sqref>E56</xm:sqref>
        </x14:dataValidation>
        <x14:dataValidation type="list" allowBlank="1" showInputMessage="1" showErrorMessage="1" errorTitle="Wprowadź moduły podstawowe" error="wprowadź moduły podstawowe, wówczas paramerty BI uzupełnią się samodzielnie" promptTitle="Wartość wyliczy się samodzielnie" prompt="pamiętaj, że cena jest zależna od łącznej liczby stanowisk modułów podstawowych, wprowadź je wszystkie" xr:uid="{00000000-0002-0000-0100-00002A000000}">
          <x14:formula1>
            <xm:f>'Cennik enova365'!$G$13:$G$14</xm:f>
          </x14:formula1>
          <xm:sqref>E32</xm:sqref>
        </x14:dataValidation>
        <x14:dataValidation type="list" allowBlank="1" showInputMessage="1" showErrorMessage="1" prompt="wymaga modułu BI oraz innego Pulpitu" xr:uid="{00000000-0002-0000-0100-00002B000000}">
          <x14:formula1>
            <xm:f>'Cennik enova365'!$G$13:$G$14</xm:f>
          </x14:formula1>
          <xm:sqref>B71</xm:sqref>
        </x14:dataValidation>
        <x14:dataValidation type="list" allowBlank="1" showInputMessage="1" showErrorMessage="1" prompt="wymagany Pulpit Pracownika" xr:uid="{00000000-0002-0000-0100-00002C000000}">
          <x14:formula1>
            <xm:f>'Cennik enova365'!$G$13:$G$14</xm:f>
          </x14:formula1>
          <xm:sqref>B73</xm:sqref>
        </x14:dataValidation>
        <x14:dataValidation type="list" allowBlank="1" showInputMessage="1" showErrorMessage="1" prompt="wymaga modułów Praca Hybrydowa, Kadry Płace oraz Pulpitu Pracownika" xr:uid="{00000000-0002-0000-0100-00002D000000}">
          <x14:formula1>
            <xm:f>'Cennik enova365'!$G$13:$G$14</xm:f>
          </x14:formula1>
          <xm:sqref>B72</xm:sqref>
        </x14:dataValidation>
        <x14:dataValidation type="list" allowBlank="1" showInputMessage="1" showErrorMessage="1" prompt="abonament roczny, wybierz przedział" xr:uid="{00000000-0002-0000-0100-00002E000000}">
          <x14:formula1>
            <xm:f>'Cennik enova365'!$A$127:$A$139</xm:f>
          </x14:formula1>
          <xm:sqref>E86</xm:sqref>
        </x14:dataValidation>
        <x14:dataValidation type="list" allowBlank="1" showInputMessage="1" showErrorMessage="1" prompt="abonament roczny, wybierz przedział" xr:uid="{00000000-0002-0000-0100-00002F000000}">
          <x14:formula1>
            <xm:f>'Cennik enova365'!$G$13:$G$14</xm:f>
          </x14:formula1>
          <xm:sqref>B86</xm:sqref>
        </x14:dataValidation>
        <x14:dataValidation type="list" allowBlank="1" showInputMessage="1" showErrorMessage="1" prompt="wymaga obszaru Kadry Płace" xr:uid="{5EAE2037-6292-4829-A327-FDC058CAE4D1}">
          <x14:formula1>
            <xm:f>'Cennik enova365'!$G$13:$G$14</xm:f>
          </x14:formula1>
          <xm:sqref>E35:E40 E42:E44</xm:sqref>
        </x14:dataValidation>
        <x14:dataValidation type="list" allowBlank="1" showInputMessage="1" showErrorMessage="1" prompt="wymaga obszaru Księga Handlowa" xr:uid="{78BD7746-21C6-4C7C-8AF4-F3E51BD54F68}">
          <x14:formula1>
            <xm:f>'Cennik enova365'!$G$13:$G$14</xm:f>
          </x14:formula1>
          <xm:sqref>E45:E46</xm:sqref>
        </x14:dataValidation>
        <x14:dataValidation type="list" allowBlank="1" showInputMessage="1" showErrorMessage="1" prompt="dowolny samodzielny obszar_x000a_(patrz powyżej zaznaczone na zielono)" xr:uid="{285AF1C3-A46E-4DCF-B74E-F6456784957A}">
          <x14:formula1>
            <xm:f>'Cennik enova365'!$G$13:$G$14</xm:f>
          </x14:formula1>
          <xm:sqref>E47:E48</xm:sqref>
        </x14:dataValidation>
        <x14:dataValidation type="list" allowBlank="1" showInputMessage="1" showErrorMessage="1" prompt="wymaga obszaru Księga Handlowa lub Ksiega Podatkowa_x000a_" xr:uid="{EBC08B23-8A47-4C65-8B59-5B47AE2C8909}">
          <x14:formula1>
            <xm:f>'Cennik enova365'!$G$13:$G$14</xm:f>
          </x14:formula1>
          <xm:sqref>E49:E50</xm:sqref>
        </x14:dataValidation>
        <x14:dataValidation type="list" allowBlank="1" showInputMessage="1" showErrorMessage="1" prompt="wymaga obszaru Handel oraz dodatku Integrator_x000a_Dodatek płatny dla wszystkich wersji kolorystycznych enova365." xr:uid="{704863BA-3E48-4DD0-B520-0FE565B468DB}">
          <x14:formula1>
            <xm:f>'Cennik enova365'!$G$13:$G$14</xm:f>
          </x14:formula1>
          <xm:sqref>E61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57"/>
  <sheetViews>
    <sheetView tabSelected="1" zoomScale="70" zoomScaleNormal="70" workbookViewId="0">
      <selection activeCell="A3" sqref="A3"/>
    </sheetView>
  </sheetViews>
  <sheetFormatPr defaultRowHeight="14.4" x14ac:dyDescent="0.3"/>
  <cols>
    <col min="1" max="1" width="70.6640625" customWidth="1"/>
    <col min="2" max="2" width="28.33203125" customWidth="1"/>
    <col min="3" max="3" width="26.33203125" customWidth="1"/>
    <col min="4" max="4" width="28.88671875" customWidth="1"/>
    <col min="5" max="5" width="25.5546875" customWidth="1"/>
    <col min="7" max="7" width="25.6640625" customWidth="1"/>
    <col min="8" max="8" width="18.5546875" customWidth="1"/>
    <col min="9" max="9" width="18.33203125" customWidth="1"/>
  </cols>
  <sheetData>
    <row r="1" spans="1:8" x14ac:dyDescent="0.3">
      <c r="G1" s="8" t="s">
        <v>45</v>
      </c>
    </row>
    <row r="2" spans="1:8" x14ac:dyDescent="0.3">
      <c r="G2" t="s">
        <v>1</v>
      </c>
      <c r="H2" t="s">
        <v>1</v>
      </c>
    </row>
    <row r="3" spans="1:8" x14ac:dyDescent="0.3">
      <c r="A3" s="9" t="s">
        <v>54</v>
      </c>
      <c r="G3" t="s">
        <v>3</v>
      </c>
      <c r="H3" t="s">
        <v>5</v>
      </c>
    </row>
    <row r="4" spans="1:8" x14ac:dyDescent="0.3">
      <c r="A4" s="5"/>
      <c r="G4" t="s">
        <v>5</v>
      </c>
    </row>
    <row r="5" spans="1:8" x14ac:dyDescent="0.3">
      <c r="A5" s="159" t="s">
        <v>148</v>
      </c>
      <c r="B5" s="160" t="s">
        <v>118</v>
      </c>
      <c r="C5" s="160" t="s">
        <v>119</v>
      </c>
      <c r="D5" s="165" t="s">
        <v>120</v>
      </c>
      <c r="E5" s="165" t="s">
        <v>121</v>
      </c>
    </row>
    <row r="6" spans="1:8" x14ac:dyDescent="0.3">
      <c r="A6" t="s">
        <v>122</v>
      </c>
      <c r="B6" s="100">
        <v>32140</v>
      </c>
      <c r="C6" s="100">
        <v>33750</v>
      </c>
      <c r="D6" s="100">
        <v>38570</v>
      </c>
      <c r="E6" s="100">
        <v>40500</v>
      </c>
      <c r="G6" s="8" t="s">
        <v>0</v>
      </c>
    </row>
    <row r="7" spans="1:8" x14ac:dyDescent="0.3">
      <c r="A7" t="s">
        <v>123</v>
      </c>
      <c r="B7" s="100">
        <v>7650</v>
      </c>
      <c r="C7" s="100">
        <v>8030</v>
      </c>
      <c r="D7" s="100">
        <v>9180</v>
      </c>
      <c r="E7" s="100">
        <v>9640</v>
      </c>
      <c r="G7" t="s">
        <v>31</v>
      </c>
    </row>
    <row r="8" spans="1:8" x14ac:dyDescent="0.3">
      <c r="A8" t="s">
        <v>124</v>
      </c>
      <c r="B8" s="100">
        <v>32140</v>
      </c>
      <c r="C8" s="100">
        <v>33750</v>
      </c>
      <c r="D8" s="100">
        <v>38570</v>
      </c>
      <c r="E8" s="100">
        <v>40500</v>
      </c>
      <c r="G8" t="s">
        <v>32</v>
      </c>
    </row>
    <row r="9" spans="1:8" x14ac:dyDescent="0.3">
      <c r="A9" t="s">
        <v>125</v>
      </c>
      <c r="B9" s="100">
        <v>14580</v>
      </c>
      <c r="C9" s="100">
        <v>15300</v>
      </c>
      <c r="D9" s="100">
        <v>17490</v>
      </c>
      <c r="E9" s="100">
        <v>18370</v>
      </c>
    </row>
    <row r="10" spans="1:8" x14ac:dyDescent="0.3">
      <c r="A10" t="s">
        <v>126</v>
      </c>
      <c r="B10" s="100">
        <v>22080</v>
      </c>
      <c r="C10" s="100">
        <v>23180</v>
      </c>
      <c r="D10" s="100">
        <v>26490</v>
      </c>
      <c r="E10" s="100">
        <v>27820</v>
      </c>
    </row>
    <row r="11" spans="1:8" x14ac:dyDescent="0.3">
      <c r="A11" t="s">
        <v>127</v>
      </c>
      <c r="B11" s="100">
        <v>7290</v>
      </c>
      <c r="C11" s="100">
        <v>7650</v>
      </c>
      <c r="D11" s="100">
        <v>8745</v>
      </c>
      <c r="E11" s="100">
        <v>9180</v>
      </c>
    </row>
    <row r="12" spans="1:8" x14ac:dyDescent="0.3">
      <c r="A12" t="s">
        <v>128</v>
      </c>
      <c r="B12" s="100">
        <v>30610</v>
      </c>
      <c r="C12" s="100">
        <v>32140</v>
      </c>
      <c r="D12" s="100">
        <v>36740</v>
      </c>
      <c r="E12" s="100">
        <v>38570</v>
      </c>
      <c r="G12" s="9" t="s">
        <v>47</v>
      </c>
    </row>
    <row r="13" spans="1:8" x14ac:dyDescent="0.3">
      <c r="A13" t="s">
        <v>129</v>
      </c>
      <c r="B13" s="100">
        <v>7370</v>
      </c>
      <c r="C13" s="100">
        <v>7730</v>
      </c>
      <c r="D13" s="100">
        <v>8830</v>
      </c>
      <c r="E13" s="100">
        <v>9270</v>
      </c>
      <c r="G13" t="s">
        <v>2</v>
      </c>
    </row>
    <row r="14" spans="1:8" x14ac:dyDescent="0.3">
      <c r="A14" t="s">
        <v>130</v>
      </c>
      <c r="B14" s="100">
        <v>25590</v>
      </c>
      <c r="C14" s="100">
        <v>29430</v>
      </c>
      <c r="D14" s="100">
        <v>30720</v>
      </c>
      <c r="E14" s="100">
        <v>35320</v>
      </c>
      <c r="G14" t="s">
        <v>4</v>
      </c>
    </row>
    <row r="15" spans="1:8" x14ac:dyDescent="0.3">
      <c r="A15" t="s">
        <v>131</v>
      </c>
      <c r="B15" s="100">
        <v>22525</v>
      </c>
      <c r="C15" s="100">
        <v>23650</v>
      </c>
      <c r="D15" s="100">
        <v>27020</v>
      </c>
      <c r="E15" s="100">
        <v>28380</v>
      </c>
      <c r="H15" s="129"/>
    </row>
    <row r="16" spans="1:8" x14ac:dyDescent="0.3">
      <c r="A16" t="s">
        <v>132</v>
      </c>
      <c r="B16" s="100">
        <v>7370</v>
      </c>
      <c r="C16" s="100">
        <v>7730</v>
      </c>
      <c r="D16" s="100">
        <v>8830</v>
      </c>
      <c r="E16" s="100">
        <v>9275</v>
      </c>
      <c r="G16" s="9" t="s">
        <v>48</v>
      </c>
      <c r="H16" s="129"/>
    </row>
    <row r="17" spans="1:8" x14ac:dyDescent="0.3">
      <c r="A17" t="s">
        <v>133</v>
      </c>
      <c r="B17" s="100">
        <v>7370</v>
      </c>
      <c r="C17" s="100">
        <v>7730</v>
      </c>
      <c r="D17" s="100">
        <v>8830</v>
      </c>
      <c r="E17" s="100">
        <v>9275</v>
      </c>
      <c r="G17" s="4">
        <v>1</v>
      </c>
      <c r="H17" s="129"/>
    </row>
    <row r="18" spans="1:8" x14ac:dyDescent="0.3">
      <c r="A18" t="s">
        <v>134</v>
      </c>
      <c r="B18" s="100">
        <v>7370</v>
      </c>
      <c r="C18" s="100">
        <v>7730</v>
      </c>
      <c r="D18" s="100">
        <v>8830</v>
      </c>
      <c r="E18" s="100">
        <v>9275</v>
      </c>
      <c r="G18" s="4">
        <v>2</v>
      </c>
    </row>
    <row r="19" spans="1:8" x14ac:dyDescent="0.3">
      <c r="A19" t="s">
        <v>135</v>
      </c>
      <c r="B19" s="100">
        <v>7370</v>
      </c>
      <c r="C19" s="100">
        <v>7730</v>
      </c>
      <c r="D19" s="100">
        <v>8830</v>
      </c>
      <c r="E19" s="100">
        <v>9275</v>
      </c>
      <c r="G19" s="4">
        <v>3</v>
      </c>
    </row>
    <row r="20" spans="1:8" x14ac:dyDescent="0.3">
      <c r="A20" t="s">
        <v>136</v>
      </c>
      <c r="B20" s="100">
        <v>29430</v>
      </c>
      <c r="C20" s="100">
        <v>30900</v>
      </c>
      <c r="D20" s="100">
        <v>35330</v>
      </c>
      <c r="E20" s="100">
        <v>37090</v>
      </c>
      <c r="G20" s="4">
        <v>4</v>
      </c>
    </row>
    <row r="21" spans="1:8" x14ac:dyDescent="0.3">
      <c r="A21" s="5" t="s">
        <v>175</v>
      </c>
      <c r="B21" s="170">
        <v>20800</v>
      </c>
      <c r="C21" s="170">
        <v>23920</v>
      </c>
      <c r="D21" s="170">
        <v>24960</v>
      </c>
      <c r="E21" s="170">
        <v>28700</v>
      </c>
      <c r="G21" s="4">
        <v>5</v>
      </c>
    </row>
    <row r="22" spans="1:8" x14ac:dyDescent="0.3">
      <c r="A22" s="5" t="s">
        <v>176</v>
      </c>
      <c r="B22" s="170">
        <v>6950</v>
      </c>
      <c r="C22" s="170">
        <v>7290</v>
      </c>
      <c r="D22" s="170">
        <v>8330</v>
      </c>
      <c r="E22" s="170">
        <v>8750</v>
      </c>
      <c r="G22" s="4"/>
    </row>
    <row r="23" spans="1:8" x14ac:dyDescent="0.3">
      <c r="A23" t="s">
        <v>137</v>
      </c>
      <c r="B23" s="100">
        <v>21870</v>
      </c>
      <c r="C23" s="100">
        <v>22960</v>
      </c>
      <c r="D23" s="100">
        <v>26240</v>
      </c>
      <c r="E23" s="100">
        <v>27550</v>
      </c>
      <c r="G23" s="4"/>
    </row>
    <row r="24" spans="1:8" x14ac:dyDescent="0.3">
      <c r="A24" t="s">
        <v>138</v>
      </c>
      <c r="B24" s="100">
        <v>7290</v>
      </c>
      <c r="C24" s="100">
        <v>7650</v>
      </c>
      <c r="D24" s="100">
        <v>8740</v>
      </c>
      <c r="E24" s="100">
        <v>9180</v>
      </c>
    </row>
    <row r="25" spans="1:8" x14ac:dyDescent="0.3">
      <c r="A25" t="s">
        <v>139</v>
      </c>
      <c r="B25" s="100">
        <v>7370</v>
      </c>
      <c r="C25" s="100">
        <v>7730</v>
      </c>
      <c r="D25" s="100">
        <v>8830</v>
      </c>
      <c r="E25" s="100">
        <v>9275</v>
      </c>
      <c r="G25" s="9" t="s">
        <v>49</v>
      </c>
    </row>
    <row r="26" spans="1:8" x14ac:dyDescent="0.3">
      <c r="A26" t="s">
        <v>140</v>
      </c>
      <c r="B26" s="100">
        <v>14720</v>
      </c>
      <c r="C26" s="100">
        <v>15450</v>
      </c>
      <c r="D26" s="100">
        <v>17660</v>
      </c>
      <c r="E26" s="100">
        <v>18550</v>
      </c>
      <c r="G26" s="4">
        <v>1</v>
      </c>
    </row>
    <row r="27" spans="1:8" x14ac:dyDescent="0.3">
      <c r="A27" t="s">
        <v>141</v>
      </c>
      <c r="B27" s="100">
        <v>7370</v>
      </c>
      <c r="C27" s="100">
        <v>7730</v>
      </c>
      <c r="D27" s="100">
        <v>8830</v>
      </c>
      <c r="E27" s="100">
        <v>9275</v>
      </c>
      <c r="G27" s="4">
        <v>2</v>
      </c>
    </row>
    <row r="28" spans="1:8" x14ac:dyDescent="0.3">
      <c r="A28" t="s">
        <v>142</v>
      </c>
      <c r="B28" s="100">
        <v>7370</v>
      </c>
      <c r="C28" s="100">
        <v>7730</v>
      </c>
      <c r="D28" s="100">
        <v>8830</v>
      </c>
      <c r="E28" s="100">
        <v>9275</v>
      </c>
      <c r="G28" s="4">
        <v>3</v>
      </c>
    </row>
    <row r="29" spans="1:8" x14ac:dyDescent="0.3">
      <c r="A29" t="s">
        <v>165</v>
      </c>
      <c r="B29" s="100">
        <v>8320</v>
      </c>
      <c r="C29" s="100">
        <v>8320</v>
      </c>
      <c r="D29" s="100">
        <v>8320</v>
      </c>
      <c r="E29" s="100">
        <v>8320</v>
      </c>
      <c r="G29" s="4">
        <v>4</v>
      </c>
    </row>
    <row r="30" spans="1:8" x14ac:dyDescent="0.3">
      <c r="A30" t="s">
        <v>167</v>
      </c>
      <c r="B30" s="157" t="s">
        <v>163</v>
      </c>
      <c r="C30" s="100">
        <v>7350</v>
      </c>
      <c r="D30" s="157" t="s">
        <v>163</v>
      </c>
      <c r="E30" s="100">
        <v>8830</v>
      </c>
      <c r="G30" s="4">
        <v>5</v>
      </c>
    </row>
    <row r="31" spans="1:8" x14ac:dyDescent="0.3">
      <c r="B31" s="100"/>
      <c r="C31" s="100"/>
      <c r="D31" s="100"/>
      <c r="E31" s="100"/>
      <c r="G31" s="4">
        <v>6</v>
      </c>
    </row>
    <row r="32" spans="1:8" x14ac:dyDescent="0.3">
      <c r="B32" s="100"/>
      <c r="C32" s="100"/>
      <c r="D32" s="100"/>
      <c r="E32" s="100"/>
      <c r="G32" s="4">
        <v>7</v>
      </c>
    </row>
    <row r="33" spans="1:8" x14ac:dyDescent="0.3">
      <c r="A33" s="161" t="s">
        <v>149</v>
      </c>
      <c r="B33" s="162" t="s">
        <v>118</v>
      </c>
      <c r="C33" s="162" t="s">
        <v>119</v>
      </c>
      <c r="D33" s="166" t="s">
        <v>120</v>
      </c>
      <c r="E33" s="166" t="s">
        <v>121</v>
      </c>
      <c r="G33" s="4">
        <v>8</v>
      </c>
    </row>
    <row r="34" spans="1:8" ht="28.8" x14ac:dyDescent="0.3">
      <c r="A34" s="148" t="s">
        <v>146</v>
      </c>
      <c r="B34" s="147">
        <v>3180</v>
      </c>
      <c r="C34" s="147">
        <v>3660</v>
      </c>
      <c r="D34" s="147">
        <v>3800</v>
      </c>
      <c r="E34" s="147">
        <v>4390</v>
      </c>
      <c r="G34" s="4">
        <v>9</v>
      </c>
    </row>
    <row r="35" spans="1:8" x14ac:dyDescent="0.3">
      <c r="A35" s="5"/>
      <c r="B35" s="143"/>
      <c r="C35" s="143"/>
      <c r="D35" s="143"/>
      <c r="E35" s="143"/>
      <c r="G35" s="4">
        <v>10</v>
      </c>
    </row>
    <row r="36" spans="1:8" x14ac:dyDescent="0.3">
      <c r="A36" s="141"/>
      <c r="B36" s="141"/>
      <c r="C36" s="141"/>
      <c r="D36" s="141"/>
      <c r="E36" s="141"/>
      <c r="G36" s="4"/>
    </row>
    <row r="37" spans="1:8" x14ac:dyDescent="0.3">
      <c r="A37" s="159" t="s">
        <v>6</v>
      </c>
      <c r="B37" s="153" t="s">
        <v>113</v>
      </c>
    </row>
    <row r="38" spans="1:8" ht="15.6" x14ac:dyDescent="0.3">
      <c r="A38" t="s">
        <v>76</v>
      </c>
      <c r="B38" s="100">
        <v>3770</v>
      </c>
      <c r="E38" s="78"/>
      <c r="G38" s="9" t="s">
        <v>51</v>
      </c>
    </row>
    <row r="39" spans="1:8" ht="15.6" x14ac:dyDescent="0.3">
      <c r="A39" t="s">
        <v>38</v>
      </c>
      <c r="B39" s="100">
        <v>3770</v>
      </c>
      <c r="D39" s="78"/>
      <c r="E39" s="78"/>
      <c r="G39" s="4">
        <v>5</v>
      </c>
    </row>
    <row r="40" spans="1:8" ht="15.6" x14ac:dyDescent="0.3">
      <c r="A40" t="s">
        <v>77</v>
      </c>
      <c r="B40" s="100">
        <v>11400</v>
      </c>
      <c r="D40" s="78"/>
      <c r="E40" s="78"/>
    </row>
    <row r="41" spans="1:8" ht="15.6" x14ac:dyDescent="0.3">
      <c r="A41" t="s">
        <v>78</v>
      </c>
      <c r="B41" s="100">
        <v>1060</v>
      </c>
      <c r="D41" s="78"/>
      <c r="E41" s="78"/>
    </row>
    <row r="42" spans="1:8" ht="15.6" x14ac:dyDescent="0.3">
      <c r="A42" t="s">
        <v>39</v>
      </c>
      <c r="B42" s="100">
        <v>3020</v>
      </c>
      <c r="D42" s="78"/>
      <c r="E42" s="78"/>
    </row>
    <row r="43" spans="1:8" ht="15.6" x14ac:dyDescent="0.3">
      <c r="A43" t="s">
        <v>79</v>
      </c>
      <c r="B43" s="100">
        <v>3020</v>
      </c>
      <c r="D43" s="78"/>
      <c r="E43" s="78"/>
      <c r="G43" s="9" t="s">
        <v>114</v>
      </c>
    </row>
    <row r="44" spans="1:8" ht="15.6" x14ac:dyDescent="0.3">
      <c r="A44" t="s">
        <v>40</v>
      </c>
      <c r="B44" s="100">
        <v>2270</v>
      </c>
      <c r="D44" s="78"/>
      <c r="E44" s="78"/>
      <c r="G44" s="140">
        <v>0.16</v>
      </c>
      <c r="H44" t="s">
        <v>94</v>
      </c>
    </row>
    <row r="45" spans="1:8" ht="15.6" x14ac:dyDescent="0.3">
      <c r="A45" t="s">
        <v>152</v>
      </c>
      <c r="B45" s="100">
        <v>6520</v>
      </c>
      <c r="D45" s="78"/>
      <c r="E45" s="78"/>
      <c r="G45" s="140">
        <v>0.3</v>
      </c>
      <c r="H45" t="s">
        <v>115</v>
      </c>
    </row>
    <row r="46" spans="1:8" ht="15.6" x14ac:dyDescent="0.3">
      <c r="A46" t="s">
        <v>111</v>
      </c>
      <c r="B46" s="100">
        <v>1360</v>
      </c>
      <c r="D46" s="78"/>
      <c r="E46" s="78"/>
    </row>
    <row r="47" spans="1:8" ht="15.6" x14ac:dyDescent="0.3">
      <c r="A47" t="s">
        <v>174</v>
      </c>
      <c r="B47" s="100">
        <v>3640</v>
      </c>
      <c r="D47" s="78"/>
      <c r="E47" s="78"/>
    </row>
    <row r="48" spans="1:8" ht="15.6" x14ac:dyDescent="0.3">
      <c r="A48" t="s">
        <v>70</v>
      </c>
      <c r="B48" s="100">
        <v>3770</v>
      </c>
      <c r="D48" s="78"/>
      <c r="E48" s="78"/>
    </row>
    <row r="49" spans="1:5" ht="15.6" x14ac:dyDescent="0.3">
      <c r="A49" t="s">
        <v>33</v>
      </c>
      <c r="B49" s="100">
        <v>3020</v>
      </c>
      <c r="D49" s="78"/>
      <c r="E49" s="78"/>
    </row>
    <row r="50" spans="1:5" ht="15.6" x14ac:dyDescent="0.3">
      <c r="A50" t="s">
        <v>34</v>
      </c>
      <c r="B50" s="100">
        <v>3330</v>
      </c>
      <c r="D50" s="78"/>
      <c r="E50" s="78"/>
    </row>
    <row r="51" spans="1:5" ht="15.6" x14ac:dyDescent="0.3">
      <c r="A51" t="s">
        <v>35</v>
      </c>
      <c r="B51" s="100">
        <v>3770</v>
      </c>
      <c r="D51" s="78"/>
      <c r="E51" s="78"/>
    </row>
    <row r="52" spans="1:5" ht="15.6" x14ac:dyDescent="0.3">
      <c r="A52" t="s">
        <v>36</v>
      </c>
      <c r="B52" s="100">
        <v>2270</v>
      </c>
      <c r="D52" s="78"/>
      <c r="E52" s="78"/>
    </row>
    <row r="53" spans="1:5" ht="15.6" x14ac:dyDescent="0.3">
      <c r="A53" t="s">
        <v>37</v>
      </c>
      <c r="B53" s="100">
        <v>2270</v>
      </c>
      <c r="E53" s="78"/>
    </row>
    <row r="54" spans="1:5" ht="15.6" x14ac:dyDescent="0.3">
      <c r="A54" t="s">
        <v>44</v>
      </c>
      <c r="B54" s="100">
        <v>1100</v>
      </c>
      <c r="E54" s="78"/>
    </row>
    <row r="55" spans="1:5" ht="15.6" x14ac:dyDescent="0.3">
      <c r="A55" t="s">
        <v>80</v>
      </c>
      <c r="B55" s="100">
        <v>295</v>
      </c>
      <c r="E55" s="78"/>
    </row>
    <row r="56" spans="1:5" ht="15.6" x14ac:dyDescent="0.3">
      <c r="A56" t="s">
        <v>43</v>
      </c>
      <c r="B56" s="100">
        <v>3020</v>
      </c>
      <c r="E56" s="78"/>
    </row>
    <row r="57" spans="1:5" ht="15.6" x14ac:dyDescent="0.3">
      <c r="A57" t="s">
        <v>93</v>
      </c>
      <c r="B57" s="100">
        <v>3670</v>
      </c>
      <c r="E57" s="78"/>
    </row>
    <row r="58" spans="1:5" ht="15.6" x14ac:dyDescent="0.3">
      <c r="A58" t="s">
        <v>73</v>
      </c>
      <c r="B58" s="100">
        <v>7570</v>
      </c>
      <c r="E58" s="78"/>
    </row>
    <row r="59" spans="1:5" ht="15.6" x14ac:dyDescent="0.3">
      <c r="A59" t="s">
        <v>112</v>
      </c>
      <c r="B59" s="100">
        <v>2460</v>
      </c>
      <c r="E59" s="78"/>
    </row>
    <row r="60" spans="1:5" ht="15.6" x14ac:dyDescent="0.3">
      <c r="A60" t="s">
        <v>41</v>
      </c>
      <c r="B60" s="100">
        <v>1360</v>
      </c>
      <c r="E60" s="78"/>
    </row>
    <row r="61" spans="1:5" ht="15.6" x14ac:dyDescent="0.3">
      <c r="A61" t="s">
        <v>42</v>
      </c>
      <c r="B61" s="100">
        <v>1360</v>
      </c>
      <c r="E61" s="78"/>
    </row>
    <row r="62" spans="1:5" ht="15.6" x14ac:dyDescent="0.3">
      <c r="A62" t="s">
        <v>56</v>
      </c>
      <c r="B62" s="100">
        <v>3020</v>
      </c>
      <c r="E62" s="78"/>
    </row>
    <row r="63" spans="1:5" ht="15.6" x14ac:dyDescent="0.3">
      <c r="A63" t="s">
        <v>172</v>
      </c>
      <c r="B63" s="100">
        <v>2770</v>
      </c>
      <c r="E63" s="78"/>
    </row>
    <row r="64" spans="1:5" ht="15.6" x14ac:dyDescent="0.3">
      <c r="A64" t="s">
        <v>173</v>
      </c>
      <c r="B64" s="100">
        <v>16430</v>
      </c>
      <c r="E64" s="78"/>
    </row>
    <row r="65" spans="1:2" x14ac:dyDescent="0.3">
      <c r="B65" s="7"/>
    </row>
    <row r="66" spans="1:2" x14ac:dyDescent="0.3">
      <c r="B66" s="7"/>
    </row>
    <row r="67" spans="1:2" x14ac:dyDescent="0.3">
      <c r="A67" s="159" t="s">
        <v>25</v>
      </c>
      <c r="B67" s="153" t="s">
        <v>116</v>
      </c>
    </row>
    <row r="68" spans="1:2" x14ac:dyDescent="0.3">
      <c r="A68" t="s">
        <v>15</v>
      </c>
      <c r="B68" s="100">
        <v>545</v>
      </c>
    </row>
    <row r="69" spans="1:2" x14ac:dyDescent="0.3">
      <c r="A69" t="s">
        <v>16</v>
      </c>
      <c r="B69" s="100">
        <v>1100</v>
      </c>
    </row>
    <row r="72" spans="1:2" x14ac:dyDescent="0.3">
      <c r="A72" s="159" t="s">
        <v>46</v>
      </c>
      <c r="B72" s="153" t="s">
        <v>113</v>
      </c>
    </row>
    <row r="73" spans="1:2" x14ac:dyDescent="0.3">
      <c r="A73" t="s">
        <v>102</v>
      </c>
      <c r="B73" s="100">
        <v>4540</v>
      </c>
    </row>
    <row r="74" spans="1:2" x14ac:dyDescent="0.3">
      <c r="A74" t="s">
        <v>103</v>
      </c>
      <c r="B74" s="100">
        <v>7590</v>
      </c>
    </row>
    <row r="75" spans="1:2" x14ac:dyDescent="0.3">
      <c r="A75" t="s">
        <v>104</v>
      </c>
      <c r="B75" s="100">
        <v>13670</v>
      </c>
    </row>
    <row r="76" spans="1:2" x14ac:dyDescent="0.3">
      <c r="A76" t="s">
        <v>105</v>
      </c>
      <c r="B76" s="100">
        <v>22660</v>
      </c>
    </row>
    <row r="77" spans="1:2" x14ac:dyDescent="0.3">
      <c r="A77" t="s">
        <v>106</v>
      </c>
      <c r="B77" s="100">
        <v>30260</v>
      </c>
    </row>
    <row r="78" spans="1:2" x14ac:dyDescent="0.3">
      <c r="A78" t="s">
        <v>107</v>
      </c>
      <c r="B78" s="100">
        <v>37230</v>
      </c>
    </row>
    <row r="79" spans="1:2" x14ac:dyDescent="0.3">
      <c r="A79" t="s">
        <v>21</v>
      </c>
      <c r="B79" s="100">
        <v>305</v>
      </c>
    </row>
    <row r="80" spans="1:2" x14ac:dyDescent="0.3">
      <c r="A80" t="s">
        <v>74</v>
      </c>
      <c r="B80" s="100">
        <v>7520</v>
      </c>
    </row>
    <row r="82" spans="1:2" x14ac:dyDescent="0.3">
      <c r="A82" s="159" t="s">
        <v>57</v>
      </c>
      <c r="B82" s="153" t="s">
        <v>113</v>
      </c>
    </row>
    <row r="83" spans="1:2" x14ac:dyDescent="0.3">
      <c r="A83" t="s">
        <v>102</v>
      </c>
      <c r="B83" s="100">
        <v>3600</v>
      </c>
    </row>
    <row r="84" spans="1:2" x14ac:dyDescent="0.3">
      <c r="A84" t="s">
        <v>103</v>
      </c>
      <c r="B84" s="100">
        <v>7220</v>
      </c>
    </row>
    <row r="85" spans="1:2" x14ac:dyDescent="0.3">
      <c r="A85" t="s">
        <v>104</v>
      </c>
      <c r="B85" s="100">
        <v>10120</v>
      </c>
    </row>
    <row r="86" spans="1:2" x14ac:dyDescent="0.3">
      <c r="A86" t="s">
        <v>105</v>
      </c>
      <c r="B86" s="100">
        <v>13010</v>
      </c>
    </row>
    <row r="87" spans="1:2" x14ac:dyDescent="0.3">
      <c r="A87" t="s">
        <v>106</v>
      </c>
      <c r="B87" s="100">
        <v>15910</v>
      </c>
    </row>
    <row r="88" spans="1:2" x14ac:dyDescent="0.3">
      <c r="A88" t="s">
        <v>107</v>
      </c>
      <c r="B88" s="100">
        <v>20980</v>
      </c>
    </row>
    <row r="89" spans="1:2" x14ac:dyDescent="0.3">
      <c r="B89" s="7"/>
    </row>
    <row r="90" spans="1:2" x14ac:dyDescent="0.3">
      <c r="A90" s="159" t="s">
        <v>58</v>
      </c>
      <c r="B90" s="159" t="s">
        <v>113</v>
      </c>
    </row>
    <row r="91" spans="1:2" x14ac:dyDescent="0.3">
      <c r="A91" t="s">
        <v>102</v>
      </c>
      <c r="B91" s="100">
        <v>2270</v>
      </c>
    </row>
    <row r="92" spans="1:2" x14ac:dyDescent="0.3">
      <c r="A92" t="s">
        <v>103</v>
      </c>
      <c r="B92" s="100">
        <v>3330</v>
      </c>
    </row>
    <row r="93" spans="1:2" x14ac:dyDescent="0.3">
      <c r="A93" t="s">
        <v>104</v>
      </c>
      <c r="B93" s="100">
        <v>4540</v>
      </c>
    </row>
    <row r="94" spans="1:2" x14ac:dyDescent="0.3">
      <c r="A94" t="s">
        <v>105</v>
      </c>
      <c r="B94" s="100">
        <v>6070</v>
      </c>
    </row>
    <row r="95" spans="1:2" x14ac:dyDescent="0.3">
      <c r="A95" t="s">
        <v>106</v>
      </c>
      <c r="B95" s="100">
        <v>7590</v>
      </c>
    </row>
    <row r="96" spans="1:2" x14ac:dyDescent="0.3">
      <c r="A96" t="s">
        <v>107</v>
      </c>
      <c r="B96" s="100">
        <v>12140</v>
      </c>
    </row>
    <row r="98" spans="1:3" x14ac:dyDescent="0.3">
      <c r="A98" s="159" t="s">
        <v>59</v>
      </c>
      <c r="B98" s="159" t="s">
        <v>168</v>
      </c>
      <c r="C98" s="159" t="s">
        <v>169</v>
      </c>
    </row>
    <row r="99" spans="1:3" x14ac:dyDescent="0.3">
      <c r="A99" t="s">
        <v>108</v>
      </c>
      <c r="B99" s="100">
        <v>225</v>
      </c>
      <c r="C99" s="100">
        <v>495</v>
      </c>
    </row>
    <row r="100" spans="1:3" x14ac:dyDescent="0.3">
      <c r="A100" t="s">
        <v>109</v>
      </c>
      <c r="B100" s="100">
        <v>685</v>
      </c>
      <c r="C100" s="100">
        <v>1530</v>
      </c>
    </row>
    <row r="101" spans="1:3" x14ac:dyDescent="0.3">
      <c r="A101" t="s">
        <v>110</v>
      </c>
      <c r="B101" s="100">
        <v>1150</v>
      </c>
      <c r="C101" s="100">
        <v>2490</v>
      </c>
    </row>
    <row r="102" spans="1:3" x14ac:dyDescent="0.3">
      <c r="A102" t="s">
        <v>170</v>
      </c>
      <c r="B102" s="100">
        <v>1530</v>
      </c>
      <c r="C102" s="100">
        <v>4220</v>
      </c>
    </row>
    <row r="103" spans="1:3" x14ac:dyDescent="0.3">
      <c r="A103" t="s">
        <v>171</v>
      </c>
      <c r="B103" s="100">
        <v>2190</v>
      </c>
      <c r="C103" s="100">
        <v>8430</v>
      </c>
    </row>
    <row r="104" spans="1:3" x14ac:dyDescent="0.3">
      <c r="A104" t="s">
        <v>117</v>
      </c>
      <c r="B104" s="100">
        <v>5.475E-2</v>
      </c>
      <c r="C104" s="100">
        <v>5.475E-2</v>
      </c>
    </row>
    <row r="105" spans="1:3" x14ac:dyDescent="0.3">
      <c r="B105" s="100"/>
    </row>
    <row r="106" spans="1:3" x14ac:dyDescent="0.3">
      <c r="A106" s="159" t="s">
        <v>151</v>
      </c>
      <c r="B106" s="159" t="s">
        <v>113</v>
      </c>
    </row>
    <row r="107" spans="1:3" x14ac:dyDescent="0.3">
      <c r="A107" t="s">
        <v>102</v>
      </c>
      <c r="B107" s="100">
        <v>1290</v>
      </c>
    </row>
    <row r="108" spans="1:3" x14ac:dyDescent="0.3">
      <c r="A108" t="s">
        <v>103</v>
      </c>
      <c r="B108" s="100">
        <v>1900</v>
      </c>
    </row>
    <row r="109" spans="1:3" x14ac:dyDescent="0.3">
      <c r="A109" t="s">
        <v>104</v>
      </c>
      <c r="B109" s="100">
        <v>2580</v>
      </c>
    </row>
    <row r="110" spans="1:3" x14ac:dyDescent="0.3">
      <c r="A110" t="s">
        <v>105</v>
      </c>
      <c r="B110" s="100">
        <v>3440</v>
      </c>
    </row>
    <row r="111" spans="1:3" x14ac:dyDescent="0.3">
      <c r="A111" t="s">
        <v>106</v>
      </c>
      <c r="B111" s="100">
        <v>4300</v>
      </c>
    </row>
    <row r="112" spans="1:3" ht="14.25" customHeight="1" x14ac:dyDescent="0.3">
      <c r="A112" t="s">
        <v>107</v>
      </c>
      <c r="B112" s="100">
        <v>7300</v>
      </c>
    </row>
    <row r="113" spans="1:5" ht="14.25" customHeight="1" x14ac:dyDescent="0.3">
      <c r="B113" s="100"/>
    </row>
    <row r="114" spans="1:5" ht="14.25" customHeight="1" x14ac:dyDescent="0.3">
      <c r="A114" s="159" t="s">
        <v>166</v>
      </c>
      <c r="B114" s="159" t="s">
        <v>113</v>
      </c>
    </row>
    <row r="115" spans="1:5" ht="14.25" customHeight="1" x14ac:dyDescent="0.3">
      <c r="A115" t="s">
        <v>102</v>
      </c>
      <c r="B115" s="100">
        <v>2160</v>
      </c>
    </row>
    <row r="116" spans="1:5" ht="14.25" customHeight="1" x14ac:dyDescent="0.3">
      <c r="A116" t="s">
        <v>103</v>
      </c>
      <c r="B116" s="100">
        <v>3160</v>
      </c>
    </row>
    <row r="117" spans="1:5" ht="14.25" customHeight="1" x14ac:dyDescent="0.3">
      <c r="A117" t="s">
        <v>104</v>
      </c>
      <c r="B117" s="100">
        <v>4330</v>
      </c>
    </row>
    <row r="118" spans="1:5" ht="14.25" customHeight="1" x14ac:dyDescent="0.3">
      <c r="A118" t="s">
        <v>105</v>
      </c>
      <c r="B118" s="100">
        <v>5770</v>
      </c>
    </row>
    <row r="119" spans="1:5" ht="14.25" customHeight="1" x14ac:dyDescent="0.3">
      <c r="A119" t="s">
        <v>106</v>
      </c>
      <c r="B119" s="100">
        <v>7220</v>
      </c>
    </row>
    <row r="120" spans="1:5" ht="14.25" customHeight="1" x14ac:dyDescent="0.3">
      <c r="A120" t="s">
        <v>107</v>
      </c>
      <c r="B120" s="100">
        <v>11560</v>
      </c>
    </row>
    <row r="121" spans="1:5" x14ac:dyDescent="0.3">
      <c r="D121" t="s">
        <v>20</v>
      </c>
    </row>
    <row r="122" spans="1:5" x14ac:dyDescent="0.3">
      <c r="A122" s="153" t="s">
        <v>71</v>
      </c>
      <c r="B122" s="153" t="s">
        <v>5</v>
      </c>
    </row>
    <row r="123" spans="1:5" x14ac:dyDescent="0.3">
      <c r="A123">
        <v>1</v>
      </c>
      <c r="B123" s="100">
        <v>17340</v>
      </c>
      <c r="C123" s="7"/>
      <c r="D123" s="7"/>
    </row>
    <row r="124" spans="1:5" x14ac:dyDescent="0.3">
      <c r="A124" s="142">
        <v>41</v>
      </c>
      <c r="B124" s="100">
        <v>45990</v>
      </c>
      <c r="C124" s="7"/>
      <c r="D124" s="7"/>
    </row>
    <row r="126" spans="1:5" x14ac:dyDescent="0.3">
      <c r="A126" s="153" t="s">
        <v>81</v>
      </c>
      <c r="B126" s="153" t="s">
        <v>153</v>
      </c>
    </row>
    <row r="127" spans="1:5" x14ac:dyDescent="0.3">
      <c r="A127" s="167" t="s">
        <v>87</v>
      </c>
      <c r="B127" s="168">
        <v>934</v>
      </c>
      <c r="D127" s="7"/>
    </row>
    <row r="128" spans="1:5" x14ac:dyDescent="0.3">
      <c r="A128" s="167" t="s">
        <v>154</v>
      </c>
      <c r="B128" s="168">
        <v>934</v>
      </c>
      <c r="C128" s="7"/>
      <c r="D128" s="7"/>
      <c r="E128" s="7"/>
    </row>
    <row r="129" spans="1:5" x14ac:dyDescent="0.3">
      <c r="A129" s="167" t="s">
        <v>155</v>
      </c>
      <c r="B129" s="168">
        <v>934</v>
      </c>
      <c r="C129" s="7"/>
      <c r="D129" s="7"/>
      <c r="E129" s="7"/>
    </row>
    <row r="130" spans="1:5" x14ac:dyDescent="0.3">
      <c r="A130" s="167" t="s">
        <v>88</v>
      </c>
      <c r="B130" s="168">
        <v>934</v>
      </c>
      <c r="C130" s="7"/>
      <c r="D130" s="7"/>
      <c r="E130" s="7"/>
    </row>
    <row r="131" spans="1:5" x14ac:dyDescent="0.3">
      <c r="A131" s="167" t="s">
        <v>156</v>
      </c>
      <c r="B131" s="168">
        <v>1354</v>
      </c>
    </row>
    <row r="132" spans="1:5" x14ac:dyDescent="0.3">
      <c r="A132" s="167" t="s">
        <v>157</v>
      </c>
      <c r="B132" s="168">
        <v>1354</v>
      </c>
    </row>
    <row r="133" spans="1:5" x14ac:dyDescent="0.3">
      <c r="A133" s="167" t="s">
        <v>158</v>
      </c>
      <c r="B133" s="168">
        <v>1354</v>
      </c>
    </row>
    <row r="134" spans="1:5" x14ac:dyDescent="0.3">
      <c r="A134" s="167" t="s">
        <v>89</v>
      </c>
      <c r="B134" s="168">
        <v>1354</v>
      </c>
      <c r="C134" s="7"/>
    </row>
    <row r="135" spans="1:5" x14ac:dyDescent="0.3">
      <c r="A135" s="167" t="s">
        <v>159</v>
      </c>
      <c r="B135" s="168">
        <v>2299</v>
      </c>
      <c r="C135" s="7"/>
    </row>
    <row r="136" spans="1:5" x14ac:dyDescent="0.3">
      <c r="A136" s="167" t="s">
        <v>160</v>
      </c>
      <c r="B136" s="168">
        <v>2299</v>
      </c>
      <c r="C136" s="7"/>
    </row>
    <row r="137" spans="1:5" x14ac:dyDescent="0.3">
      <c r="A137" s="167" t="s">
        <v>161</v>
      </c>
      <c r="B137" s="168">
        <v>2299</v>
      </c>
    </row>
    <row r="138" spans="1:5" x14ac:dyDescent="0.3">
      <c r="A138" s="167" t="s">
        <v>90</v>
      </c>
      <c r="B138" s="168">
        <v>2299</v>
      </c>
    </row>
    <row r="139" spans="1:5" x14ac:dyDescent="0.3">
      <c r="A139" s="167" t="s">
        <v>91</v>
      </c>
      <c r="B139" s="167" t="s">
        <v>84</v>
      </c>
      <c r="C139" s="129"/>
      <c r="D139" s="7"/>
    </row>
    <row r="140" spans="1:5" x14ac:dyDescent="0.3">
      <c r="B140" s="7"/>
      <c r="C140" s="7"/>
      <c r="D140" s="7"/>
      <c r="E140" s="7"/>
    </row>
    <row r="141" spans="1:5" x14ac:dyDescent="0.3">
      <c r="B141" s="7"/>
      <c r="C141" s="7"/>
      <c r="D141" s="7"/>
      <c r="E141" s="7"/>
    </row>
    <row r="142" spans="1:5" x14ac:dyDescent="0.3">
      <c r="B142" s="7"/>
      <c r="C142" s="7"/>
      <c r="D142" s="7"/>
      <c r="E142" s="7"/>
    </row>
    <row r="145" spans="1:5" x14ac:dyDescent="0.3">
      <c r="B145" s="7"/>
    </row>
    <row r="146" spans="1:5" x14ac:dyDescent="0.3">
      <c r="B146" s="7"/>
      <c r="C146" s="7"/>
    </row>
    <row r="147" spans="1:5" x14ac:dyDescent="0.3">
      <c r="B147" s="7"/>
      <c r="C147" s="7"/>
    </row>
    <row r="148" spans="1:5" x14ac:dyDescent="0.3">
      <c r="B148" s="7"/>
      <c r="C148" s="7"/>
    </row>
    <row r="152" spans="1:5" ht="14.4" hidden="1" customHeight="1" x14ac:dyDescent="0.3">
      <c r="A152" s="105" t="s">
        <v>92</v>
      </c>
      <c r="B152" s="202" t="s">
        <v>85</v>
      </c>
      <c r="C152" s="203"/>
      <c r="D152" s="202" t="s">
        <v>83</v>
      </c>
      <c r="E152" s="203"/>
    </row>
    <row r="153" spans="1:5" hidden="1" x14ac:dyDescent="0.3">
      <c r="A153" s="1" t="s">
        <v>87</v>
      </c>
      <c r="B153" s="109">
        <v>300</v>
      </c>
      <c r="C153" s="2">
        <v>0</v>
      </c>
      <c r="D153" s="2">
        <v>0</v>
      </c>
      <c r="E153" s="2">
        <v>0</v>
      </c>
    </row>
    <row r="154" spans="1:5" hidden="1" x14ac:dyDescent="0.3">
      <c r="A154" s="1" t="s">
        <v>88</v>
      </c>
      <c r="B154" s="109">
        <v>300</v>
      </c>
      <c r="C154" s="6">
        <v>450</v>
      </c>
      <c r="D154" s="2">
        <v>0</v>
      </c>
      <c r="E154" s="2">
        <v>0</v>
      </c>
    </row>
    <row r="155" spans="1:5" hidden="1" x14ac:dyDescent="0.3">
      <c r="A155" s="1" t="s">
        <v>89</v>
      </c>
      <c r="B155" s="109">
        <v>450</v>
      </c>
      <c r="C155" s="6">
        <v>650</v>
      </c>
      <c r="D155" s="2">
        <v>0</v>
      </c>
      <c r="E155" s="2">
        <v>0</v>
      </c>
    </row>
    <row r="156" spans="1:5" hidden="1" x14ac:dyDescent="0.3">
      <c r="A156" s="1" t="s">
        <v>90</v>
      </c>
      <c r="B156" s="109">
        <v>750</v>
      </c>
      <c r="C156" s="6">
        <v>950</v>
      </c>
      <c r="D156" s="2">
        <v>0</v>
      </c>
      <c r="E156" s="2">
        <v>0</v>
      </c>
    </row>
    <row r="157" spans="1:5" hidden="1" x14ac:dyDescent="0.3">
      <c r="A157" s="1" t="s">
        <v>91</v>
      </c>
      <c r="B157" s="3" t="s">
        <v>84</v>
      </c>
      <c r="C157" s="127" t="s">
        <v>84</v>
      </c>
      <c r="D157" s="127" t="s">
        <v>84</v>
      </c>
      <c r="E157" s="127" t="s">
        <v>84</v>
      </c>
    </row>
  </sheetData>
  <mergeCells count="2">
    <mergeCell ref="B152:C152"/>
    <mergeCell ref="D152:E152"/>
  </mergeCells>
  <dataValidations count="1">
    <dataValidation allowBlank="1" showInputMessage="1" showErrorMessage="1" errorTitle="Brak możliwości edycji" sqref="D31 B31 B34:E34 E22:E31 D6:E21 B6:B29 C6:C31 D22:D29" xr:uid="{00000000-0002-0000-0200-000000000000}"/>
  </dataValidations>
  <pageMargins left="0.7" right="0.7" top="0.75" bottom="0.75" header="0.3" footer="0.3"/>
  <pageSetup paperSize="9" scale="63" orientation="landscape"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enova365 - Jednofirmowa</vt:lpstr>
      <vt:lpstr>enova365 - Wielofirmowa</vt:lpstr>
      <vt:lpstr>Cennik enova365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Koziol;sabina.dziubinska@enova.pl</dc:creator>
  <cp:lastModifiedBy>Paulina Dzik</cp:lastModifiedBy>
  <cp:lastPrinted>2014-11-18T08:32:43Z</cp:lastPrinted>
  <dcterms:created xsi:type="dcterms:W3CDTF">2012-10-16T06:15:01Z</dcterms:created>
  <dcterms:modified xsi:type="dcterms:W3CDTF">2023-12-11T14:18:00Z</dcterms:modified>
</cp:coreProperties>
</file>