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updateLinks="never" defaultThemeVersion="124226"/>
  <mc:AlternateContent xmlns:mc="http://schemas.openxmlformats.org/markup-compatibility/2006">
    <mc:Choice Requires="x15">
      <x15ac:absPath xmlns:x15ac="http://schemas.microsoft.com/office/spreadsheetml/2010/11/ac" url="https://msdnenova-my.sharepoint.com/personal/paulina_dzik_soneta_pl/Documents/Desktop/Kalkulatory od 1.01.2024/Miesięczny/"/>
    </mc:Choice>
  </mc:AlternateContent>
  <xr:revisionPtr revIDLastSave="4" documentId="8_{05E7FD8B-F22B-4EDA-AAB0-F245E23419DD}" xr6:coauthVersionLast="47" xr6:coauthVersionMax="47" xr10:uidLastSave="{4DFE0B30-C16D-4151-90A3-E7EF1FFCB63E}"/>
  <bookViews>
    <workbookView xWindow="-108" yWindow="-108" windowWidth="23256" windowHeight="12456" tabRatio="774" xr2:uid="{00000000-000D-0000-FFFF-FFFF00000000}"/>
  </bookViews>
  <sheets>
    <sheet name="enova365 - Instalacja 1-bazowa" sheetId="10" r:id="rId1"/>
    <sheet name="enova365 - Biuro Rachunkowe" sheetId="11" r:id="rId2"/>
    <sheet name="enova365 - BRdGr pow.10" sheetId="14" r:id="rId3"/>
    <sheet name="enova365 - Wielofirmowa" sheetId="12" r:id="rId4"/>
    <sheet name="Cennik enova365" sheetId="9" r:id="rId5"/>
  </sheets>
  <definedNames>
    <definedName name="_xlnm._FilterDatabase" localSheetId="1" hidden="1">'enova365 - Biuro Rachunkowe'!$G$2:$G$96</definedName>
    <definedName name="_xlnm._FilterDatabase" localSheetId="2" hidden="1">'enova365 - BRdGr pow.10'!$G$2:$G$95</definedName>
    <definedName name="_xlnm._FilterDatabase" localSheetId="0" hidden="1">'enova365 - Instalacja 1-bazowa'!$F$2:$F$140</definedName>
    <definedName name="_xlnm._FilterDatabase" localSheetId="3" hidden="1">'enova365 - Wielofirmowa'!$F$2:$F$94</definedName>
    <definedName name="enova365_Praca_Hybrydowa_w_Pulpitach">pulpity_WF17[#All]</definedName>
    <definedName name="_xlnm.Print_Area" localSheetId="0">'enova365 - Instalacja 1-bazowa'!$A$4:$A$31</definedName>
    <definedName name="pakiety_BR_AKT">SaaS[[TYP 1]:[typ 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1" l="1"/>
  <c r="L21" i="10"/>
  <c r="C21" i="10"/>
  <c r="E21" i="10" s="1"/>
  <c r="F21" i="10" s="1"/>
  <c r="D14" i="11"/>
  <c r="F14" i="11" s="1"/>
  <c r="G14" i="11" s="1"/>
  <c r="D24" i="14"/>
  <c r="D14" i="14"/>
  <c r="F14" i="14" s="1"/>
  <c r="G14" i="14" s="1"/>
  <c r="C33" i="12"/>
  <c r="C21" i="12"/>
  <c r="E21" i="12" s="1"/>
  <c r="F21" i="12" s="1"/>
  <c r="L20" i="10" l="1"/>
  <c r="C20" i="10"/>
  <c r="E20" i="10" s="1"/>
  <c r="F20" i="10" s="1"/>
  <c r="L13" i="11"/>
  <c r="D13" i="11"/>
  <c r="F13" i="11" s="1"/>
  <c r="G13" i="11" s="1"/>
  <c r="D13" i="14"/>
  <c r="F13" i="14" s="1"/>
  <c r="G13" i="14" s="1"/>
  <c r="C20" i="12"/>
  <c r="E20" i="12" s="1"/>
  <c r="F20" i="12" s="1"/>
  <c r="F45" i="10" l="1"/>
  <c r="C45" i="10"/>
  <c r="G50" i="11"/>
  <c r="D50" i="11"/>
  <c r="G50" i="14"/>
  <c r="D50" i="14"/>
  <c r="F45" i="12"/>
  <c r="C45" i="12"/>
  <c r="H62" i="10" l="1"/>
  <c r="E62" i="10"/>
  <c r="F62" i="10"/>
  <c r="C62" i="10"/>
  <c r="H62" i="12"/>
  <c r="E62" i="12"/>
  <c r="E63" i="12" s="1"/>
  <c r="F62" i="12"/>
  <c r="C62" i="12"/>
  <c r="F61" i="10" l="1"/>
  <c r="C61" i="10"/>
  <c r="G64" i="11"/>
  <c r="D64" i="11"/>
  <c r="F66" i="14"/>
  <c r="G64" i="14"/>
  <c r="D64" i="14"/>
  <c r="F61" i="12"/>
  <c r="C61" i="12"/>
  <c r="L29" i="10" l="1"/>
  <c r="C29" i="10"/>
  <c r="E29" i="10" s="1"/>
  <c r="F29" i="10" s="1"/>
  <c r="C30" i="12" l="1"/>
  <c r="E30" i="12" s="1"/>
  <c r="F30" i="12" s="1"/>
  <c r="C83" i="10" l="1"/>
  <c r="E83" i="10" s="1"/>
  <c r="D77" i="11"/>
  <c r="F77" i="11" s="1"/>
  <c r="D78" i="14"/>
  <c r="F78" i="14" s="1"/>
  <c r="E88" i="12" l="1"/>
  <c r="E89" i="12" s="1"/>
  <c r="C88" i="12"/>
  <c r="H94" i="10" l="1"/>
  <c r="C76" i="10" l="1"/>
  <c r="E76" i="10"/>
  <c r="D32" i="11"/>
  <c r="F32" i="11"/>
  <c r="G32" i="11" s="1"/>
  <c r="F32" i="14"/>
  <c r="G32" i="14" s="1"/>
  <c r="E74" i="12"/>
  <c r="C74" i="12"/>
  <c r="D32" i="14"/>
  <c r="F76" i="10" l="1"/>
  <c r="I38" i="11"/>
  <c r="I38" i="14"/>
  <c r="L28" i="10" l="1"/>
  <c r="L24" i="10"/>
  <c r="L21" i="11"/>
  <c r="C28" i="10" l="1"/>
  <c r="E28" i="10" s="1"/>
  <c r="F28" i="10" s="1"/>
  <c r="D21" i="11" l="1"/>
  <c r="F21" i="11" l="1"/>
  <c r="G21" i="11" s="1"/>
  <c r="D21" i="14"/>
  <c r="F21" i="14" s="1"/>
  <c r="G21" i="14" s="1"/>
  <c r="C29" i="12"/>
  <c r="E29" i="12" s="1"/>
  <c r="F74" i="12" s="1"/>
  <c r="F29" i="12" l="1"/>
  <c r="D38" i="11"/>
  <c r="D38" i="14" l="1"/>
  <c r="G48" i="11" l="1"/>
  <c r="G48" i="14"/>
  <c r="G49" i="14"/>
  <c r="F43" i="12"/>
  <c r="D48" i="14"/>
  <c r="D48" i="11"/>
  <c r="F43" i="10"/>
  <c r="C43" i="10"/>
  <c r="E68" i="12" l="1"/>
  <c r="E71" i="12"/>
  <c r="E72" i="12"/>
  <c r="F72" i="12" s="1"/>
  <c r="H73" i="12"/>
  <c r="C73" i="12"/>
  <c r="E73" i="12" s="1"/>
  <c r="C72" i="12"/>
  <c r="I31" i="14"/>
  <c r="D31" i="14"/>
  <c r="F30" i="14"/>
  <c r="G30" i="14" s="1"/>
  <c r="D30" i="14"/>
  <c r="I31" i="11"/>
  <c r="D31" i="11"/>
  <c r="F30" i="11"/>
  <c r="G30" i="11" s="1"/>
  <c r="D30" i="11"/>
  <c r="H75" i="10"/>
  <c r="C75" i="10"/>
  <c r="E75" i="10" s="1"/>
  <c r="C74" i="10"/>
  <c r="E74" i="10" s="1"/>
  <c r="F74" i="10" s="1"/>
  <c r="H59" i="10"/>
  <c r="H53" i="10"/>
  <c r="H52" i="10"/>
  <c r="H46" i="10"/>
  <c r="C93" i="10" l="1"/>
  <c r="D93" i="10" s="1"/>
  <c r="E93" i="10" s="1"/>
  <c r="F93" i="10" s="1"/>
  <c r="C94" i="10"/>
  <c r="E94" i="10" s="1"/>
  <c r="G95" i="10" l="1"/>
  <c r="H95" i="10" s="1"/>
  <c r="F94" i="10"/>
  <c r="E95" i="10"/>
  <c r="F95" i="10" s="1"/>
  <c r="C70" i="12" l="1"/>
  <c r="C71" i="12"/>
  <c r="C69" i="12"/>
  <c r="C68" i="12"/>
  <c r="D35" i="14"/>
  <c r="C37" i="12"/>
  <c r="C38" i="12"/>
  <c r="C39" i="12"/>
  <c r="C40" i="12"/>
  <c r="C41" i="12"/>
  <c r="C42" i="12"/>
  <c r="C44" i="12"/>
  <c r="C46" i="12"/>
  <c r="C47" i="12"/>
  <c r="C48" i="12"/>
  <c r="C49" i="12"/>
  <c r="C50" i="12"/>
  <c r="C51" i="12"/>
  <c r="C52" i="12"/>
  <c r="C53" i="12"/>
  <c r="C54" i="12"/>
  <c r="C55" i="12"/>
  <c r="C56" i="12"/>
  <c r="C57" i="12"/>
  <c r="C58" i="12"/>
  <c r="C59" i="12"/>
  <c r="C60" i="12"/>
  <c r="C36" i="12"/>
  <c r="E84" i="12" l="1"/>
  <c r="E70" i="12" l="1"/>
  <c r="E69" i="12"/>
  <c r="E75" i="12" l="1"/>
  <c r="C73" i="10"/>
  <c r="C70" i="10"/>
  <c r="L5" i="11" l="1"/>
  <c r="L6" i="11"/>
  <c r="L7" i="11"/>
  <c r="L8" i="11"/>
  <c r="L9" i="11"/>
  <c r="L10" i="11"/>
  <c r="L11" i="11"/>
  <c r="L12" i="11"/>
  <c r="L15" i="11"/>
  <c r="L16" i="11"/>
  <c r="L17" i="11"/>
  <c r="L18" i="11"/>
  <c r="L19" i="11"/>
  <c r="L20" i="11"/>
  <c r="H19" i="12" l="1"/>
  <c r="H14" i="12"/>
  <c r="E24" i="12"/>
  <c r="C5" i="12"/>
  <c r="E5" i="12" s="1"/>
  <c r="C6" i="12"/>
  <c r="E6" i="12" s="1"/>
  <c r="C7" i="12"/>
  <c r="E7" i="12" s="1"/>
  <c r="C8" i="12"/>
  <c r="E8" i="12" s="1"/>
  <c r="C9" i="12"/>
  <c r="E9" i="12" s="1"/>
  <c r="C10" i="12"/>
  <c r="E10" i="12" s="1"/>
  <c r="C11" i="12"/>
  <c r="E11" i="12" s="1"/>
  <c r="C12" i="12"/>
  <c r="E12" i="12" s="1"/>
  <c r="C13" i="12"/>
  <c r="E13" i="12" s="1"/>
  <c r="C14" i="12"/>
  <c r="E14" i="12" s="1"/>
  <c r="C15" i="12"/>
  <c r="E15" i="12" s="1"/>
  <c r="C16" i="12"/>
  <c r="E16" i="12" s="1"/>
  <c r="C17" i="12"/>
  <c r="E17" i="12" s="1"/>
  <c r="C18" i="12"/>
  <c r="E18" i="12" s="1"/>
  <c r="C19" i="12"/>
  <c r="E19" i="12" s="1"/>
  <c r="C22" i="12"/>
  <c r="E22" i="12" s="1"/>
  <c r="C23" i="12"/>
  <c r="E23" i="12" s="1"/>
  <c r="C24" i="12"/>
  <c r="C25" i="12"/>
  <c r="E25" i="12" s="1"/>
  <c r="C26" i="12"/>
  <c r="E26" i="12" s="1"/>
  <c r="C27" i="12"/>
  <c r="E27" i="12" s="1"/>
  <c r="C28" i="12"/>
  <c r="E28" i="12" s="1"/>
  <c r="C4" i="12"/>
  <c r="E4" i="12" s="1"/>
  <c r="F74" i="14"/>
  <c r="F69" i="14"/>
  <c r="F35" i="14"/>
  <c r="F29" i="14"/>
  <c r="F31" i="14"/>
  <c r="F28" i="14"/>
  <c r="F17" i="14"/>
  <c r="F38" i="14"/>
  <c r="D5" i="14"/>
  <c r="F5" i="14" s="1"/>
  <c r="D6" i="14"/>
  <c r="F6" i="14" s="1"/>
  <c r="D7" i="14"/>
  <c r="F7" i="14" s="1"/>
  <c r="D8" i="14"/>
  <c r="F8" i="14" s="1"/>
  <c r="D9" i="14"/>
  <c r="F9" i="14" s="1"/>
  <c r="D10" i="14"/>
  <c r="F10" i="14" s="1"/>
  <c r="D11" i="14"/>
  <c r="F11" i="14" s="1"/>
  <c r="I11" i="14" s="1"/>
  <c r="D12" i="14"/>
  <c r="F12" i="14" s="1"/>
  <c r="D15" i="14"/>
  <c r="F15" i="14" s="1"/>
  <c r="D16" i="14"/>
  <c r="F16" i="14" s="1"/>
  <c r="D17" i="14"/>
  <c r="D18" i="14"/>
  <c r="F18" i="14" s="1"/>
  <c r="D19" i="14"/>
  <c r="F19" i="14" s="1"/>
  <c r="D20" i="14"/>
  <c r="F20" i="14" s="1"/>
  <c r="D4" i="14"/>
  <c r="F4" i="14" s="1"/>
  <c r="D29" i="14"/>
  <c r="D28" i="14"/>
  <c r="D27" i="14"/>
  <c r="F27" i="14" s="1"/>
  <c r="F73" i="11"/>
  <c r="F70" i="11"/>
  <c r="E67" i="10"/>
  <c r="F38" i="11"/>
  <c r="F29" i="11"/>
  <c r="F28" i="11"/>
  <c r="D17" i="11"/>
  <c r="F17" i="11" s="1"/>
  <c r="D5" i="11"/>
  <c r="F5" i="11" s="1"/>
  <c r="D6" i="11"/>
  <c r="F6" i="11" s="1"/>
  <c r="D7" i="11"/>
  <c r="F7" i="11" s="1"/>
  <c r="D8" i="11"/>
  <c r="F8" i="11" s="1"/>
  <c r="D9" i="11"/>
  <c r="F9" i="11" s="1"/>
  <c r="D10" i="11"/>
  <c r="F10" i="11" s="1"/>
  <c r="D11" i="11"/>
  <c r="F11" i="11" s="1"/>
  <c r="I11" i="11" s="1"/>
  <c r="D12" i="11"/>
  <c r="F12" i="11" s="1"/>
  <c r="D15" i="11"/>
  <c r="F15" i="11" s="1"/>
  <c r="D16" i="11"/>
  <c r="F16" i="11" s="1"/>
  <c r="D18" i="11"/>
  <c r="F18" i="11" s="1"/>
  <c r="D19" i="11"/>
  <c r="F19" i="11" s="1"/>
  <c r="D20" i="11"/>
  <c r="F20" i="11" s="1"/>
  <c r="D4" i="11"/>
  <c r="F4" i="11" s="1"/>
  <c r="I7" i="11"/>
  <c r="D70" i="11"/>
  <c r="D69" i="11"/>
  <c r="D35" i="11"/>
  <c r="D29" i="11"/>
  <c r="F31" i="11"/>
  <c r="D28" i="11"/>
  <c r="D27" i="11"/>
  <c r="F27" i="11" s="1"/>
  <c r="E79" i="10"/>
  <c r="E31" i="12" l="1"/>
  <c r="F33" i="11"/>
  <c r="F33" i="14"/>
  <c r="F22" i="14"/>
  <c r="G3" i="14" s="1"/>
  <c r="F22" i="11"/>
  <c r="F35" i="11"/>
  <c r="E72" i="10" l="1"/>
  <c r="E71" i="10"/>
  <c r="H19" i="10" l="1"/>
  <c r="H7" i="10" l="1"/>
  <c r="E24" i="10"/>
  <c r="C72" i="10" l="1"/>
  <c r="C71" i="10"/>
  <c r="E73" i="10"/>
  <c r="E70" i="10"/>
  <c r="C67" i="10"/>
  <c r="C66" i="10"/>
  <c r="C24" i="10"/>
  <c r="C25" i="10"/>
  <c r="E25" i="10" s="1"/>
  <c r="C26" i="10"/>
  <c r="E26" i="10" s="1"/>
  <c r="C27" i="10"/>
  <c r="E27" i="10" s="1"/>
  <c r="C30" i="10"/>
  <c r="E30" i="10" s="1"/>
  <c r="F30" i="10" s="1"/>
  <c r="C5" i="10"/>
  <c r="E5" i="10" s="1"/>
  <c r="C6" i="10"/>
  <c r="C7" i="10"/>
  <c r="E7" i="10" s="1"/>
  <c r="C8" i="10"/>
  <c r="E8" i="10" s="1"/>
  <c r="C9" i="10"/>
  <c r="E9" i="10" s="1"/>
  <c r="C10" i="10"/>
  <c r="E10" i="10" s="1"/>
  <c r="C11" i="10"/>
  <c r="E11" i="10" s="1"/>
  <c r="C12" i="10"/>
  <c r="E12" i="10" s="1"/>
  <c r="C13" i="10"/>
  <c r="E13" i="10" s="1"/>
  <c r="C14" i="10"/>
  <c r="E14" i="10" s="1"/>
  <c r="C15" i="10"/>
  <c r="E15" i="10" s="1"/>
  <c r="C16" i="10"/>
  <c r="E16" i="10" s="1"/>
  <c r="C17" i="10"/>
  <c r="E17" i="10" s="1"/>
  <c r="C18" i="10"/>
  <c r="E18" i="10" s="1"/>
  <c r="C19" i="10"/>
  <c r="E19" i="10" s="1"/>
  <c r="C22" i="10"/>
  <c r="E22" i="10" s="1"/>
  <c r="C23" i="10"/>
  <c r="E23" i="10" s="1"/>
  <c r="C4" i="10"/>
  <c r="E4" i="10" s="1"/>
  <c r="E77" i="10" l="1"/>
  <c r="E6" i="10"/>
  <c r="E31" i="10" s="1"/>
  <c r="D42" i="14" l="1"/>
  <c r="D43" i="14"/>
  <c r="D44" i="14"/>
  <c r="D45" i="14"/>
  <c r="D46" i="14"/>
  <c r="D47" i="14"/>
  <c r="D49" i="14"/>
  <c r="D51" i="14"/>
  <c r="D52" i="14"/>
  <c r="D53" i="14"/>
  <c r="D54" i="14"/>
  <c r="D55" i="14"/>
  <c r="D56" i="14"/>
  <c r="D57" i="14"/>
  <c r="D58" i="14"/>
  <c r="D59" i="14"/>
  <c r="D60" i="14"/>
  <c r="D61" i="14"/>
  <c r="D62" i="14"/>
  <c r="D63" i="14"/>
  <c r="D41" i="14"/>
  <c r="D42" i="11" l="1"/>
  <c r="D43" i="11"/>
  <c r="D44" i="11"/>
  <c r="D45" i="11"/>
  <c r="D46" i="11"/>
  <c r="D47" i="11"/>
  <c r="D49" i="11"/>
  <c r="D51" i="11"/>
  <c r="D52" i="11"/>
  <c r="D53" i="11"/>
  <c r="D54" i="11"/>
  <c r="D55" i="11"/>
  <c r="D56" i="11"/>
  <c r="D57" i="11"/>
  <c r="D58" i="11"/>
  <c r="D59" i="11"/>
  <c r="D60" i="11"/>
  <c r="D61" i="11"/>
  <c r="D62" i="11"/>
  <c r="D63" i="11"/>
  <c r="D41" i="11"/>
  <c r="C37" i="10" l="1"/>
  <c r="C38" i="10"/>
  <c r="C39" i="10"/>
  <c r="C40" i="10"/>
  <c r="C41" i="10"/>
  <c r="C42" i="10"/>
  <c r="C44" i="10"/>
  <c r="C46" i="10"/>
  <c r="C47" i="10"/>
  <c r="C48" i="10"/>
  <c r="C49" i="10"/>
  <c r="C50" i="10"/>
  <c r="C51" i="10"/>
  <c r="C52" i="10"/>
  <c r="C53" i="10"/>
  <c r="C54" i="10"/>
  <c r="C55" i="10"/>
  <c r="C56" i="10"/>
  <c r="C57" i="10"/>
  <c r="C58" i="10"/>
  <c r="C59" i="10"/>
  <c r="C60" i="10"/>
  <c r="C36" i="10"/>
  <c r="E33" i="12" l="1"/>
  <c r="F24" i="14" l="1"/>
  <c r="F57" i="10" l="1"/>
  <c r="F57" i="12"/>
  <c r="F44" i="12" l="1"/>
  <c r="G49" i="11"/>
  <c r="F44" i="10"/>
  <c r="G18" i="14" l="1"/>
  <c r="G11" i="14"/>
  <c r="G12" i="14"/>
  <c r="G11" i="11"/>
  <c r="G12" i="11"/>
  <c r="G15" i="11"/>
  <c r="G16" i="11"/>
  <c r="G18" i="11"/>
  <c r="G72" i="14" l="1"/>
  <c r="G76" i="14"/>
  <c r="F75" i="14"/>
  <c r="G75" i="14" s="1"/>
  <c r="G63" i="14"/>
  <c r="G62" i="14"/>
  <c r="G61" i="14"/>
  <c r="G60" i="14"/>
  <c r="G59" i="14"/>
  <c r="G58" i="14"/>
  <c r="G57" i="14"/>
  <c r="G56" i="14"/>
  <c r="G55" i="14"/>
  <c r="G54" i="14"/>
  <c r="G53" i="14"/>
  <c r="G52" i="14"/>
  <c r="G51" i="14"/>
  <c r="G47" i="14"/>
  <c r="G46" i="14"/>
  <c r="G45" i="14"/>
  <c r="G44" i="14"/>
  <c r="G43" i="14"/>
  <c r="G42" i="14"/>
  <c r="G41" i="14"/>
  <c r="F39" i="14"/>
  <c r="G29" i="14"/>
  <c r="G31" i="14"/>
  <c r="G28" i="14"/>
  <c r="G27" i="14"/>
  <c r="G24" i="14"/>
  <c r="G20" i="14"/>
  <c r="G19" i="14"/>
  <c r="G17" i="14"/>
  <c r="G16" i="14"/>
  <c r="G15" i="14"/>
  <c r="G10" i="14"/>
  <c r="G9" i="14"/>
  <c r="G8" i="14"/>
  <c r="I7" i="14"/>
  <c r="G7" i="14"/>
  <c r="G6" i="14"/>
  <c r="G5" i="14"/>
  <c r="G66" i="14" l="1"/>
  <c r="G40" i="14" s="1"/>
  <c r="G74" i="14"/>
  <c r="G38" i="14"/>
  <c r="G39" i="14"/>
  <c r="G37" i="14"/>
  <c r="G77" i="14"/>
  <c r="G4" i="14"/>
  <c r="G78" i="14" l="1"/>
  <c r="F79" i="14"/>
  <c r="G79" i="14" s="1"/>
  <c r="G22" i="14"/>
  <c r="F25" i="14"/>
  <c r="G33" i="14"/>
  <c r="G26" i="14"/>
  <c r="G25" i="14" l="1"/>
  <c r="G23" i="14" s="1"/>
  <c r="G69" i="14"/>
  <c r="F70" i="14"/>
  <c r="G67" i="14"/>
  <c r="G68" i="14"/>
  <c r="G34" i="14"/>
  <c r="G35" i="14"/>
  <c r="F36" i="14"/>
  <c r="G36" i="14" s="1"/>
  <c r="L11" i="10"/>
  <c r="F71" i="14" l="1"/>
  <c r="F73" i="14" s="1"/>
  <c r="G70" i="14"/>
  <c r="F55" i="12"/>
  <c r="F56" i="12"/>
  <c r="F58" i="12"/>
  <c r="F86" i="12"/>
  <c r="G71" i="14" l="1"/>
  <c r="F80" i="14"/>
  <c r="F81" i="10"/>
  <c r="G75" i="11"/>
  <c r="G76" i="11"/>
  <c r="F55" i="10"/>
  <c r="G73" i="14" l="1"/>
  <c r="F87" i="12"/>
  <c r="F83" i="10"/>
  <c r="F82" i="10"/>
  <c r="G80" i="14" l="1"/>
  <c r="F81" i="14"/>
  <c r="G81" i="14" s="1"/>
  <c r="E84" i="10"/>
  <c r="F84" i="10" s="1"/>
  <c r="F78" i="11"/>
  <c r="G78" i="11" s="1"/>
  <c r="G77" i="11"/>
  <c r="L6" i="10" l="1"/>
  <c r="L5" i="10"/>
  <c r="L4" i="10"/>
  <c r="H6" i="10"/>
  <c r="H11" i="10"/>
  <c r="E80" i="10" l="1"/>
  <c r="F70" i="12" l="1"/>
  <c r="G29" i="11"/>
  <c r="H11" i="12"/>
  <c r="F28" i="12"/>
  <c r="L4" i="11" l="1"/>
  <c r="G17" i="11"/>
  <c r="G20" i="11"/>
  <c r="F72" i="10"/>
  <c r="L30" i="10"/>
  <c r="L27" i="10"/>
  <c r="L26" i="10"/>
  <c r="L25" i="10"/>
  <c r="L23" i="10"/>
  <c r="L22" i="10"/>
  <c r="L19" i="10"/>
  <c r="L18" i="10"/>
  <c r="L17" i="10"/>
  <c r="L16" i="10"/>
  <c r="L15" i="10"/>
  <c r="L14" i="10"/>
  <c r="L13" i="10"/>
  <c r="L12" i="10"/>
  <c r="L10" i="10"/>
  <c r="L9" i="10"/>
  <c r="L8" i="10"/>
  <c r="L7" i="10"/>
  <c r="L31" i="10" l="1"/>
  <c r="M31" i="10" s="1"/>
  <c r="L22" i="11"/>
  <c r="M22" i="11" s="1"/>
  <c r="B24" i="11" s="1"/>
  <c r="D24" i="11" s="1"/>
  <c r="B33" i="10" l="1"/>
  <c r="C33" i="10" s="1"/>
  <c r="E33" i="10" s="1"/>
  <c r="E61" i="10"/>
  <c r="E45" i="10"/>
  <c r="F24" i="11"/>
  <c r="F50" i="11"/>
  <c r="F64" i="11"/>
  <c r="F48" i="11"/>
  <c r="E43" i="10"/>
  <c r="E36" i="10"/>
  <c r="E66" i="10"/>
  <c r="E68" i="10" s="1"/>
  <c r="E57" i="10"/>
  <c r="E44" i="10"/>
  <c r="E55" i="10"/>
  <c r="E40" i="10"/>
  <c r="E58" i="10"/>
  <c r="E52" i="10"/>
  <c r="E49" i="10"/>
  <c r="E42" i="10"/>
  <c r="E39" i="10"/>
  <c r="E56" i="10"/>
  <c r="E48" i="10"/>
  <c r="E41" i="10"/>
  <c r="E38" i="10"/>
  <c r="E60" i="10"/>
  <c r="E54" i="10"/>
  <c r="E51" i="10"/>
  <c r="E47" i="10"/>
  <c r="E37" i="10"/>
  <c r="E59" i="10"/>
  <c r="E53" i="10"/>
  <c r="E50" i="10"/>
  <c r="E46" i="10"/>
  <c r="E34" i="10" l="1"/>
  <c r="F33" i="10"/>
  <c r="E63" i="10"/>
  <c r="F59" i="12" l="1"/>
  <c r="F60" i="12"/>
  <c r="F36" i="10"/>
  <c r="F69" i="11" l="1"/>
  <c r="F71" i="11" l="1"/>
  <c r="F49" i="11"/>
  <c r="F42" i="11"/>
  <c r="F46" i="11"/>
  <c r="F53" i="11"/>
  <c r="F60" i="11"/>
  <c r="F52" i="11"/>
  <c r="F59" i="11"/>
  <c r="F43" i="11"/>
  <c r="F47" i="11"/>
  <c r="F54" i="11"/>
  <c r="F57" i="11"/>
  <c r="F61" i="11"/>
  <c r="F56" i="11"/>
  <c r="F44" i="11"/>
  <c r="F51" i="11"/>
  <c r="F55" i="11"/>
  <c r="F58" i="11"/>
  <c r="F62" i="11"/>
  <c r="F45" i="11"/>
  <c r="F63" i="11"/>
  <c r="G47" i="11"/>
  <c r="F42" i="10"/>
  <c r="G9" i="11"/>
  <c r="F9" i="10"/>
  <c r="G24" i="11" l="1"/>
  <c r="F33" i="12"/>
  <c r="F8" i="10"/>
  <c r="F25" i="11" l="1"/>
  <c r="G8" i="11"/>
  <c r="E34" i="12" l="1"/>
  <c r="G25" i="11"/>
  <c r="G23" i="11" s="1"/>
  <c r="F34" i="12" l="1"/>
  <c r="F32" i="12" s="1"/>
  <c r="F34" i="10"/>
  <c r="F32" i="10" s="1"/>
  <c r="F36" i="11" l="1"/>
  <c r="F22" i="12"/>
  <c r="F22" i="10"/>
  <c r="G19" i="11" l="1"/>
  <c r="G10" i="11"/>
  <c r="F19" i="12" l="1"/>
  <c r="F19" i="10"/>
  <c r="F82" i="12" l="1"/>
  <c r="F36" i="12" l="1"/>
  <c r="F41" i="11"/>
  <c r="F66" i="11" s="1"/>
  <c r="F65" i="12" l="1"/>
  <c r="F37" i="12"/>
  <c r="F38" i="12"/>
  <c r="F39" i="12"/>
  <c r="F40" i="12"/>
  <c r="F41" i="12"/>
  <c r="F42" i="12"/>
  <c r="F46" i="12"/>
  <c r="F47" i="12"/>
  <c r="F48" i="12"/>
  <c r="F49" i="12"/>
  <c r="F50" i="12"/>
  <c r="F51" i="12"/>
  <c r="F52" i="12"/>
  <c r="F53" i="12"/>
  <c r="F54" i="12"/>
  <c r="F3" i="10" l="1"/>
  <c r="F63" i="12"/>
  <c r="F35" i="12" s="1"/>
  <c r="F66" i="12"/>
  <c r="F64" i="12"/>
  <c r="G42" i="11"/>
  <c r="G43" i="11"/>
  <c r="G44" i="11"/>
  <c r="G45" i="11"/>
  <c r="G46" i="11"/>
  <c r="G51" i="11"/>
  <c r="G52" i="11"/>
  <c r="G53" i="11"/>
  <c r="G54" i="11"/>
  <c r="G55" i="11"/>
  <c r="G56" i="11"/>
  <c r="G57" i="11"/>
  <c r="G58" i="11"/>
  <c r="G59" i="11"/>
  <c r="G60" i="11"/>
  <c r="G61" i="11"/>
  <c r="G62" i="11"/>
  <c r="G63" i="11"/>
  <c r="G41" i="11"/>
  <c r="G66" i="11" l="1"/>
  <c r="G40" i="11" s="1"/>
  <c r="F37" i="10"/>
  <c r="F38" i="10"/>
  <c r="F39" i="10"/>
  <c r="F40" i="10"/>
  <c r="F41" i="10"/>
  <c r="F46" i="10"/>
  <c r="F47" i="10"/>
  <c r="F48" i="10"/>
  <c r="F49" i="10"/>
  <c r="F50" i="10"/>
  <c r="F51" i="10"/>
  <c r="F52" i="10"/>
  <c r="F53" i="10"/>
  <c r="F54" i="10"/>
  <c r="F56" i="10"/>
  <c r="F58" i="10"/>
  <c r="F59" i="10"/>
  <c r="F60" i="10"/>
  <c r="F35" i="10" l="1"/>
  <c r="F63" i="10" s="1"/>
  <c r="E77" i="12" l="1"/>
  <c r="F73" i="12" l="1"/>
  <c r="F71" i="12"/>
  <c r="E78" i="10"/>
  <c r="G38" i="11" l="1"/>
  <c r="F39" i="11"/>
  <c r="F69" i="10"/>
  <c r="G70" i="11"/>
  <c r="G69" i="11"/>
  <c r="F67" i="10"/>
  <c r="G39" i="11" l="1"/>
  <c r="G37" i="11"/>
  <c r="F69" i="12"/>
  <c r="F5" i="12"/>
  <c r="F6" i="12"/>
  <c r="F7" i="12"/>
  <c r="F10" i="12"/>
  <c r="F11" i="12"/>
  <c r="F12" i="12"/>
  <c r="F13" i="12"/>
  <c r="F14" i="12"/>
  <c r="F15" i="12"/>
  <c r="F16" i="12"/>
  <c r="F17" i="12"/>
  <c r="F18" i="12"/>
  <c r="F23" i="12"/>
  <c r="F24" i="12"/>
  <c r="F25" i="12"/>
  <c r="F26" i="12"/>
  <c r="F27" i="12"/>
  <c r="F4" i="12"/>
  <c r="E66" i="12"/>
  <c r="G31" i="11"/>
  <c r="F68" i="12" l="1"/>
  <c r="E79" i="12"/>
  <c r="G71" i="11"/>
  <c r="G68" i="11"/>
  <c r="G67" i="11"/>
  <c r="E80" i="12"/>
  <c r="E81" i="12" s="1"/>
  <c r="F81" i="12" l="1"/>
  <c r="F31" i="12"/>
  <c r="F3" i="12"/>
  <c r="F75" i="12"/>
  <c r="F67" i="12"/>
  <c r="E83" i="12" l="1"/>
  <c r="F79" i="12"/>
  <c r="F76" i="12"/>
  <c r="F77" i="12"/>
  <c r="F78" i="12" l="1"/>
  <c r="F80" i="12" l="1"/>
  <c r="G28" i="11"/>
  <c r="G6" i="11"/>
  <c r="G5" i="11"/>
  <c r="G4" i="11"/>
  <c r="G27" i="11" l="1"/>
  <c r="F71" i="10"/>
  <c r="F84" i="12"/>
  <c r="F83" i="12"/>
  <c r="F70" i="10"/>
  <c r="G34" i="11" l="1"/>
  <c r="G33" i="11"/>
  <c r="G26" i="11"/>
  <c r="E85" i="12"/>
  <c r="F75" i="10"/>
  <c r="F27" i="10"/>
  <c r="F26" i="10"/>
  <c r="F25" i="10"/>
  <c r="F24" i="10"/>
  <c r="F23" i="10"/>
  <c r="F18" i="10"/>
  <c r="F17" i="10"/>
  <c r="F16" i="10"/>
  <c r="F15" i="10"/>
  <c r="F14" i="10"/>
  <c r="H14" i="10" s="1"/>
  <c r="F13" i="10"/>
  <c r="F12" i="10"/>
  <c r="F11" i="10"/>
  <c r="F10" i="10"/>
  <c r="F7" i="10"/>
  <c r="F6" i="10"/>
  <c r="F5" i="10"/>
  <c r="F85" i="12" l="1"/>
  <c r="F77" i="10"/>
  <c r="G35" i="11"/>
  <c r="F4" i="10"/>
  <c r="F73" i="10"/>
  <c r="E85" i="10" l="1"/>
  <c r="E86" i="10" s="1"/>
  <c r="F31" i="10"/>
  <c r="G36" i="11" l="1"/>
  <c r="G73" i="11" l="1"/>
  <c r="F74" i="11"/>
  <c r="G74" i="11" l="1"/>
  <c r="F66" i="10" l="1"/>
  <c r="F65" i="10" l="1"/>
  <c r="F64" i="10"/>
  <c r="F68" i="10"/>
  <c r="F78" i="10" l="1"/>
  <c r="F80" i="10" l="1"/>
  <c r="F85" i="10"/>
  <c r="F79" i="10"/>
  <c r="F86" i="10" l="1"/>
  <c r="G7" i="11" l="1"/>
  <c r="G22" i="11" l="1"/>
  <c r="G3" i="11"/>
  <c r="F72" i="11"/>
  <c r="F79" i="11" l="1"/>
  <c r="G72" i="11"/>
  <c r="G79" i="11" l="1"/>
  <c r="F80" i="11"/>
  <c r="G80" i="11" s="1"/>
  <c r="F89" i="12"/>
  <c r="F88" i="12"/>
  <c r="E90" i="12" l="1"/>
  <c r="E91" i="12" l="1"/>
  <c r="F91" i="12" s="1"/>
  <c r="F9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Sabina Jurek</author>
  </authors>
  <commentList>
    <comment ref="F2" authorId="0" shapeId="0" xr:uid="{00000000-0006-0000-0000-000001000000}">
      <text>
        <r>
          <rPr>
            <b/>
            <sz val="9"/>
            <color indexed="81"/>
            <rFont val="Tahoma"/>
            <family val="2"/>
            <charset val="238"/>
          </rPr>
          <t>Sabina Jurek:</t>
        </r>
        <r>
          <rPr>
            <sz val="9"/>
            <color indexed="81"/>
            <rFont val="Tahoma"/>
            <family val="2"/>
            <charset val="238"/>
          </rPr>
          <t xml:space="preserve">
</t>
        </r>
        <r>
          <rPr>
            <b/>
            <sz val="9"/>
            <color indexed="81"/>
            <rFont val="Tahoma"/>
            <family val="2"/>
            <charset val="238"/>
          </rPr>
          <t xml:space="preserve"> USTALENIE  ZAMAWIANYCH POZYCJI</t>
        </r>
        <r>
          <rPr>
            <sz val="9"/>
            <color indexed="81"/>
            <rFont val="Tahoma"/>
            <family val="2"/>
            <charset val="238"/>
          </rPr>
          <t xml:space="preserve">
Proszę kliknąć w filtr w tym polu
a następnie:
1. Wybrać opcję: Zaznacz wszystko
2. </t>
        </r>
        <r>
          <rPr>
            <b/>
            <sz val="9"/>
            <color indexed="81"/>
            <rFont val="Tahoma"/>
            <family val="2"/>
            <charset val="238"/>
          </rPr>
          <t xml:space="preserve">Ustawiamy odpowiednie wartości </t>
        </r>
        <r>
          <rPr>
            <b/>
            <sz val="9"/>
            <color indexed="10"/>
            <rFont val="Tahoma"/>
            <family val="2"/>
            <charset val="238"/>
          </rPr>
          <t>tylko na konfigurowalnych (żółtych) polach</t>
        </r>
        <r>
          <rPr>
            <sz val="9"/>
            <color indexed="81"/>
            <rFont val="Tahoma"/>
            <family val="2"/>
            <charset val="238"/>
          </rPr>
          <t xml:space="preserve">
3. Po ustawieniu konkretnych wartości klikamy ponownie w filtr i wybieramy opcję 1 (tylko)
4. W efekcie otrzymujemy zwartą tabelkę do wklejenia do oferty dla klienta</t>
        </r>
      </text>
    </comment>
  </commentList>
</comments>
</file>

<file path=xl/sharedStrings.xml><?xml version="1.0" encoding="utf-8"?>
<sst xmlns="http://schemas.openxmlformats.org/spreadsheetml/2006/main" count="1011" uniqueCount="253">
  <si>
    <t>Wersja</t>
  </si>
  <si>
    <t>srebro</t>
  </si>
  <si>
    <t>TAK</t>
  </si>
  <si>
    <t>złoto</t>
  </si>
  <si>
    <t>NIE</t>
  </si>
  <si>
    <t>platyna</t>
  </si>
  <si>
    <t>Moduły  dodatkowe</t>
  </si>
  <si>
    <t>Moduł</t>
  </si>
  <si>
    <t>Rodzaj</t>
  </si>
  <si>
    <t>Wartość [netto]</t>
  </si>
  <si>
    <t>SUMA MODUŁY PODSTAWOWE</t>
  </si>
  <si>
    <t>SUMA MODUŁY DODATKOWE</t>
  </si>
  <si>
    <t>SUMA MODUŁY ZEWNĘTRZNE</t>
  </si>
  <si>
    <t xml:space="preserve">Promocje </t>
  </si>
  <si>
    <t>Wartość  upustu dla Klienta netto</t>
  </si>
  <si>
    <t>Wartość  dla Klienta netto</t>
  </si>
  <si>
    <t>Wartość  dla Klienta brutto (z VAT 23%)</t>
  </si>
  <si>
    <t xml:space="preserve">1...5 tabela </t>
  </si>
  <si>
    <t>6...15 tabela</t>
  </si>
  <si>
    <t>ilość</t>
  </si>
  <si>
    <t>Kliknij w filtr</t>
  </si>
  <si>
    <t>cena za 1 szt.</t>
  </si>
  <si>
    <t>WERSJA DLA BIUR RACHUNKOWYCH</t>
  </si>
  <si>
    <t>SUMA MODUŁY Wielofirmowe</t>
  </si>
  <si>
    <t xml:space="preserve"> </t>
  </si>
  <si>
    <t>enova365 Pulpit Kierownika</t>
  </si>
  <si>
    <t>Liczba baz</t>
  </si>
  <si>
    <t xml:space="preserve">SUMA enova365 Pulpit </t>
  </si>
  <si>
    <t>Ilość/zakres</t>
  </si>
  <si>
    <t>Ilość/Zakres</t>
  </si>
  <si>
    <t>TABELE DODATKOWE - ZŁOTO do maks. 15 tabel</t>
  </si>
  <si>
    <t>enova365 Pulpity</t>
  </si>
  <si>
    <t>SUMA enova365 Pulpity</t>
  </si>
  <si>
    <t>0,00*</t>
  </si>
  <si>
    <t>Ilość</t>
  </si>
  <si>
    <t>SUMA MODUŁY Dodatkowe</t>
  </si>
  <si>
    <t>platyna wielofirmowa</t>
  </si>
  <si>
    <t>standard</t>
  </si>
  <si>
    <t>multi</t>
  </si>
  <si>
    <t>Moduły  podstawowe</t>
  </si>
  <si>
    <t>enova365 Jednostki Budżetowe</t>
  </si>
  <si>
    <t>enova365 Elektroniczne Wyciągi Bankowe</t>
  </si>
  <si>
    <t>enova365 Wirtualne Rachunki Bankowe</t>
  </si>
  <si>
    <t>enova365 Importy Księgowe</t>
  </si>
  <si>
    <t>enova365 Eksporty Księgowe</t>
  </si>
  <si>
    <t>enova365 Pracownicy Uczelni</t>
  </si>
  <si>
    <t>enova365 Pracownicy Koszty Projektów</t>
  </si>
  <si>
    <r>
      <t>enova365 Zarządzanie Odzieżą Roboczą (wyposażenie pracownika)</t>
    </r>
    <r>
      <rPr>
        <sz val="8"/>
        <color rgb="FF404040"/>
        <rFont val="Arial"/>
        <family val="2"/>
        <charset val="238"/>
      </rPr>
      <t> </t>
    </r>
  </si>
  <si>
    <t>enova365 SMS</t>
  </si>
  <si>
    <t>enova365 CRM Outlook</t>
  </si>
  <si>
    <t>enova365 EDI</t>
  </si>
  <si>
    <t>enova365 eFaktura GreenMail24</t>
  </si>
  <si>
    <t>Kolor</t>
  </si>
  <si>
    <t>enova365 Pulpit Pracownika</t>
  </si>
  <si>
    <t>Opcja</t>
  </si>
  <si>
    <t>Tabele 1-5</t>
  </si>
  <si>
    <t>Tabele 6-15</t>
  </si>
  <si>
    <t>Tabele dodatkowe</t>
  </si>
  <si>
    <t>SUMA enova365 - instalacja podstawowa (5 baz)</t>
  </si>
  <si>
    <t>Dopłata za dodatkowe bazy w instalacji wielofirmowej</t>
  </si>
  <si>
    <t>WERSJA  1-BAZOWA</t>
  </si>
  <si>
    <t>RAZEM enova365</t>
  </si>
  <si>
    <t>GRATIS</t>
  </si>
  <si>
    <t>enova365 e-mail</t>
  </si>
  <si>
    <t>enova365 Pulpit Kontrahenta</t>
  </si>
  <si>
    <t>enova365 Workflow w Pulpitach</t>
  </si>
  <si>
    <t>enova365 Pulpit Klienta Biura Rachunkowego</t>
  </si>
  <si>
    <t>Suma enova365 Pulpit Klienta Biura Rachunkowego</t>
  </si>
  <si>
    <t>SUMA enova365 Pulpity plus kolejne bazy</t>
  </si>
  <si>
    <t>- łączna ilość baz obsługiwana w instalacji</t>
  </si>
  <si>
    <t>SUMA enova365 Pulpity z bazami</t>
  </si>
  <si>
    <t>Dopłata za użytkowanie enova365 Pulpity w dodatkowych bazach</t>
  </si>
  <si>
    <t>Zakres baz</t>
  </si>
  <si>
    <t>Cena*</t>
  </si>
  <si>
    <t>Kalkulator jest materiałem pomocniczym przy szacowaniu zamówienia,</t>
  </si>
  <si>
    <t>Partner jest odpowiedzialny za przedstawioną Klientowi Ofertę</t>
  </si>
  <si>
    <t>i powinien każdorazowo sprawdzić zgodność cen z aktualnym cennikiem.</t>
  </si>
  <si>
    <t>Cena stanowiska                 [netto zł]</t>
  </si>
  <si>
    <t>Cena stanowiska multi [netto zł]</t>
  </si>
  <si>
    <t>enova365 Analizy MS Excel</t>
  </si>
  <si>
    <t>BI</t>
  </si>
  <si>
    <t>SUMA BI</t>
  </si>
  <si>
    <t>enova365 Windykacja BR</t>
  </si>
  <si>
    <t>enova365 Integrator</t>
  </si>
  <si>
    <t>enova365 Edycja kalendarza w Pulpicie Pracownika</t>
  </si>
  <si>
    <t>enova365 Zarządzanie Odzieżą Roboczą (wyposażenie pracownika) </t>
  </si>
  <si>
    <t xml:space="preserve">enova365 Pracownicy Eksportowi </t>
  </si>
  <si>
    <t>enova365 Pracownicy Prokuratury</t>
  </si>
  <si>
    <t>enova365 Rozrachunki Funduszy Pożyczkowych</t>
  </si>
  <si>
    <t>enova365 Czas Pracy</t>
  </si>
  <si>
    <t>enova365 Drukarki etykiet Zebra</t>
  </si>
  <si>
    <t>Wartość dla Klienta netto</t>
  </si>
  <si>
    <t>Wartość dla Klienta brutto (z VAT 23%)</t>
  </si>
  <si>
    <t>enova365 Faktury BR</t>
  </si>
  <si>
    <t>enova365 Kadry Płace</t>
  </si>
  <si>
    <t>enova365 Księga Podatkowa</t>
  </si>
  <si>
    <t>enova365 Księga Handlowa</t>
  </si>
  <si>
    <t>enova365 Księga Inwentarzowa</t>
  </si>
  <si>
    <t>enova365 Ewidencja Środków Pieniężnych dodatkowe stanowisko</t>
  </si>
  <si>
    <t>enova365 Faktury</t>
  </si>
  <si>
    <t>enova365 Handel</t>
  </si>
  <si>
    <t>enova365 Przedstawiciel Handlowy</t>
  </si>
  <si>
    <t>enova365 Produkcja</t>
  </si>
  <si>
    <t>enova365 CRM</t>
  </si>
  <si>
    <t>enova365 Serwis</t>
  </si>
  <si>
    <t>enova365 Szkolenia</t>
  </si>
  <si>
    <t>enova365 Wypożyczalnia</t>
  </si>
  <si>
    <t>enova365 Członkowie</t>
  </si>
  <si>
    <t>enova365 Projekty</t>
  </si>
  <si>
    <t>enova365 Workflow</t>
  </si>
  <si>
    <t>enova365 DMS</t>
  </si>
  <si>
    <t>enova365 Konfigurator Workflow i DMS</t>
  </si>
  <si>
    <t>enova365 Podgląd</t>
  </si>
  <si>
    <t>enova365 Preliminarz EŚP</t>
  </si>
  <si>
    <t>enova365 Delegacje Służbowe</t>
  </si>
  <si>
    <t>enova365 Opis Analityczny Aktywacja</t>
  </si>
  <si>
    <t>enova365 Kadry Płace BR</t>
  </si>
  <si>
    <t>enova365 Księga Podatkowa BR</t>
  </si>
  <si>
    <t>enova365 Księga Handlowa BR</t>
  </si>
  <si>
    <t>enova365 Księga Inwentarzowa BR</t>
  </si>
  <si>
    <t>enova365 Workflow BR</t>
  </si>
  <si>
    <t>enova365 DMS BR</t>
  </si>
  <si>
    <t>enova365 Konfigurator Workflow i DMS BR</t>
  </si>
  <si>
    <t>enova365 Preliminarz EŚP BR</t>
  </si>
  <si>
    <t>enova365 Delegacje Służbowe BR</t>
  </si>
  <si>
    <t>ABBYY FlexiCapture for Invoices</t>
  </si>
  <si>
    <t>enova365 Integracja OCR</t>
  </si>
  <si>
    <t>indywidualna wycena</t>
  </si>
  <si>
    <t>SUMA enova365 OCR</t>
  </si>
  <si>
    <t>5 000 stron rocznie</t>
  </si>
  <si>
    <t>20 000 stron rocznie</t>
  </si>
  <si>
    <t>40 000 stron rocznie</t>
  </si>
  <si>
    <t>60 000 stron rocznie</t>
  </si>
  <si>
    <t>powyżej 60 000 stron rocznie</t>
  </si>
  <si>
    <t>i powinien każdorazowo sprawdzić zgodność cen z aktualnym cennikiem oraz skonsultować wąpliwości z Opiekunem Handlowym w Soneta.</t>
  </si>
  <si>
    <t>enova365 e-Sklepy Konektor</t>
  </si>
  <si>
    <t>Liczba równoczesnych użytkowników</t>
  </si>
  <si>
    <t>enova365 Windykacja</t>
  </si>
  <si>
    <t>moduły, które działają samodzielnie,
każdy z nich zawiera w sobie dostęp do:
- Ewidencji Środków Pieniężnych
- Ewidencji Dokumentów
- lista Kontrahenci i Urzędy</t>
  </si>
  <si>
    <t>BI (licencja na serwer)</t>
  </si>
  <si>
    <t>MODUŁY DODATKOWE (licencja na serwer)
w licencji platynowej bezpłatne 
- wszystkie moduły podstawowe muszą być platynowe</t>
  </si>
  <si>
    <t>MODUŁY PODSTAWOWE (licencja jednoczesnego dostępu - concurent user)</t>
  </si>
  <si>
    <t>Pulpity (licencja na nazwanego użytkownika)</t>
  </si>
  <si>
    <t>Liczba użytkowników</t>
  </si>
  <si>
    <t>MODUŁY DODATKOWE
dowolne moduły dodatkowe w cenie</t>
  </si>
  <si>
    <t>TABELE DODATKOWE
nielimitowana liczba tabel dodtakowych w cenie</t>
  </si>
  <si>
    <t>liczba dodatkowych baz - poza pierwszą</t>
  </si>
  <si>
    <t>Pulpity dopłata za korzystanie w kolejnej bazie</t>
  </si>
  <si>
    <t>Pulpit Klienta Biura Rachunkowego</t>
  </si>
  <si>
    <t>Dopłata za użytkowanie Pulpitów
w kolejnej bazie</t>
  </si>
  <si>
    <t>SUMA enova365 - instalacja podstawowa (20 baz)</t>
  </si>
  <si>
    <t>do 50 kont</t>
  </si>
  <si>
    <t>do 100 kont</t>
  </si>
  <si>
    <t>do 200 kont</t>
  </si>
  <si>
    <t>do 500 kont</t>
  </si>
  <si>
    <t>do 1000 kont</t>
  </si>
  <si>
    <t>powyżej 1000 kont</t>
  </si>
  <si>
    <t>do 50 baz</t>
  </si>
  <si>
    <t>do 200 baz</t>
  </si>
  <si>
    <t>do 500 baz</t>
  </si>
  <si>
    <t>enova365 CRM BR</t>
  </si>
  <si>
    <t>enova365 Projekty BR</t>
  </si>
  <si>
    <t>enova365 Podgląd BR</t>
  </si>
  <si>
    <t>enova365 Eksporty Dekretów List Płac</t>
  </si>
  <si>
    <t>enova365 Kurierzy</t>
  </si>
  <si>
    <t>enova365 BI</t>
  </si>
  <si>
    <t>BR złoto</t>
  </si>
  <si>
    <t>BR platyna, WF i BRdG</t>
  </si>
  <si>
    <t>SREBRO Multi</t>
  </si>
  <si>
    <t>ZŁOTO Multi</t>
  </si>
  <si>
    <t>PLATYNA Multi</t>
  </si>
  <si>
    <t>PLATYNA WF Multi</t>
  </si>
  <si>
    <t>Cena</t>
  </si>
  <si>
    <t>Cena za 1 szt.</t>
  </si>
  <si>
    <t>dopłata za kolejną bazę</t>
  </si>
  <si>
    <t>`</t>
  </si>
  <si>
    <t>niedostępne w tym kolorze</t>
  </si>
  <si>
    <t>n/d</t>
  </si>
  <si>
    <t>SaaS WF</t>
  </si>
  <si>
    <t>SaaS</t>
  </si>
  <si>
    <t>SaaS BR i WF</t>
  </si>
  <si>
    <t>Liczba baz Wielofirmowa</t>
  </si>
  <si>
    <t>liczba</t>
  </si>
  <si>
    <t>- łączna liczba baz obsługiwana w instalacji</t>
  </si>
  <si>
    <t>Formularz wyceny oferty usługi enova365 IaaS &gt;</t>
  </si>
  <si>
    <t>Wynajem licencji enova365</t>
  </si>
  <si>
    <t>typ 2</t>
  </si>
  <si>
    <t>typ 3</t>
  </si>
  <si>
    <t>Koszt infrastruktury na Platformie Microsoft Azure SaaS</t>
  </si>
  <si>
    <t>abonament miesięczny za jednego użytkownika w danym typie bazy</t>
  </si>
  <si>
    <t>minimalna liczba użytkowników w bazie danego typu</t>
  </si>
  <si>
    <t>abonament roczny za jednego użytkownika w danym typie bazy</t>
  </si>
  <si>
    <t>enova365 BI w Pulpitach</t>
  </si>
  <si>
    <t>Wynajem infrastruktury enova365 Azure IaaS</t>
  </si>
  <si>
    <t>Wynajem infrastruktury enova365 Azure SaaS</t>
  </si>
  <si>
    <r>
      <t xml:space="preserve">Dostęp do bazy 
</t>
    </r>
    <r>
      <rPr>
        <b/>
        <sz val="12"/>
        <color rgb="FFFF0000"/>
        <rFont val="Calibri Light"/>
        <family val="2"/>
        <charset val="238"/>
      </rPr>
      <t xml:space="preserve">dla użytkowników modułów podstawowych </t>
    </r>
  </si>
  <si>
    <r>
      <t xml:space="preserve">Dostęp do bazy 
</t>
    </r>
    <r>
      <rPr>
        <b/>
        <sz val="12"/>
        <color rgb="FFFF0000"/>
        <rFont val="Calibri Light"/>
        <family val="2"/>
        <charset val="238"/>
      </rPr>
      <t>dla użytkowników Pulpitów*</t>
    </r>
  </si>
  <si>
    <t>TYP 1</t>
  </si>
  <si>
    <t>TYP 2</t>
  </si>
  <si>
    <t>TYP 3</t>
  </si>
  <si>
    <t>min. zamówienie to 2 dostępy</t>
  </si>
  <si>
    <t>dla tego Klienta IaaS</t>
  </si>
  <si>
    <t>-</t>
  </si>
  <si>
    <t>Dla kogo SaaS?</t>
  </si>
  <si>
    <t>można uruchomić łącznie max. 100 kont w Pulpitach</t>
  </si>
  <si>
    <t>można uruchomić łącznie max. 50 kont w Pulpitach</t>
  </si>
  <si>
    <t>Klient, dla którego usługa SaaS nie będzie wystarczająca wymaga indywidualnego środowska Azure (enova365 IaaS) proszę wypełnić poniższy formularz, będziemy mogli wówczas oszacować koszt wynajmu indywidualnego środowiska dla Klienta</t>
  </si>
  <si>
    <r>
      <t xml:space="preserve">*specyfika pracy użytkowników Pulpitowych różni się od użytkowników modułu podstawowego, gdyż najczęściej logują się oni raz na jakiś czas żeby np. złożyć wniosek, 
co za tym idzie w mniejszym stopniu "zużywają" zasoby infrastruktury, 
przy wycenie przyjmujemy założenie, że 5 użytkowników Pulpitu wykorzystuje zasoby infrastrukturalne w takim samym stopniu jak 1 użytkownik modułu podstawowego,
ale UWAGA! jeżeli przez Pulpit Pracownika realizowane jest więcej zadań i częstotliwość logowania użytkowników Pulpitu jest wyższa, może się okazać konieczne zwiększenie liczby dostępów.
</t>
    </r>
    <r>
      <rPr>
        <b/>
        <u/>
        <sz val="11"/>
        <color rgb="FFFF0000"/>
        <rFont val="Calibri Light"/>
        <family val="2"/>
        <charset val="238"/>
      </rPr>
      <t xml:space="preserve">
UWAGA! w przypadku Klientów, którzy mają bardzo duże przedziały w Pulpitach oferta musi być skalkulowana indywidualne, prosimy o kontakt ze swoim opiekunem.</t>
    </r>
  </si>
  <si>
    <t>" Klienta, który nie korzysta z intefejsu okienkowego (w usłudze SaaS nie ma możliwości uruchomnienia interfejsu okienkowego)</t>
  </si>
  <si>
    <t>" Klienta, u którego jest max.20 użytkowników fizycznych Modułów Podstawowych (usługa jest tworzona wg szablonu o określonych parametrach)</t>
  </si>
  <si>
    <t>" Klienta, u którego jest max. 100 użytkowników Pulpitów</t>
  </si>
  <si>
    <t>Licencji enova365 Wielofirmowej nie można uruchomić na usłudzie enova365 SaaS, wymaga środowska indywidualnego środowska Azure (enova365 IaaS) proszę wypełnić poniższy formularz, będziemy mogli wówczas oszacować koszt wynajmu indywidualnego środowiska dla Klienta</t>
  </si>
  <si>
    <t>Licencji enova365 Biuro Rachunkowe dla Grupy firm nie można uruchomić na usłudzie enova365 SaaS, wymaga środowska indywidualnego środowska Azure (enova365 IaaS) proszę wypełnić poniższy formularz, będziemy mogli wówczas oszacować koszt wynajmu indywidualnego środowiska dla Klienta</t>
  </si>
  <si>
    <t>Licencji enova365 Biuro Rachunkowe nie można uruchomić na usłudzie enova365 SaaS, wymaga środowska indywidualnego środowska Azure (enova365 IaaS) proszę wypełnić poniższy formularz, będziemy mogli wówczas oszacować koszt wynajmu indywidualnego środowiska dla Klienta</t>
  </si>
  <si>
    <t>BI w Pulpitach</t>
  </si>
  <si>
    <t>enova365 Symmetrical</t>
  </si>
  <si>
    <t>SUMA enova365 SaaS</t>
  </si>
  <si>
    <t>SaaS2</t>
  </si>
  <si>
    <t>Podstawowy</t>
  </si>
  <si>
    <t>Rozszerzony</t>
  </si>
  <si>
    <t>do 1000 baz</t>
  </si>
  <si>
    <t>powyżej 1000 baz</t>
  </si>
  <si>
    <t>enova365 SaaS jaki rodzaj bazy wybrać? &gt;</t>
  </si>
  <si>
    <t>enova365 Praca na Wielu Bazach</t>
  </si>
  <si>
    <t xml:space="preserve">enova365 Praca na Wielu Bazach </t>
  </si>
  <si>
    <t>roczna nielimitowane stacje</t>
  </si>
  <si>
    <t>10 000 stron rocznie</t>
  </si>
  <si>
    <t>15 000 stron rocznie</t>
  </si>
  <si>
    <t>25 000 stron rocznie</t>
  </si>
  <si>
    <t>30 000 stron rocznie</t>
  </si>
  <si>
    <t>35 000 stron rocznie</t>
  </si>
  <si>
    <t>45 000 stron rocznie</t>
  </si>
  <si>
    <t>50 000 stron rocznie</t>
  </si>
  <si>
    <t>55 000 stron rocznie</t>
  </si>
  <si>
    <t>cennik dostępny jest w Bazie Wiedzy</t>
  </si>
  <si>
    <t>Integracja OCR z ABBYY OCR</t>
  </si>
  <si>
    <t>enova365 Integracja OCR z ABBYY OCR</t>
  </si>
  <si>
    <t>Licencję należy odnowić po roku.              Abonament roczny.
Niedostępne w usłudze enova365 SaaS.</t>
  </si>
  <si>
    <t>Licencję należy odnowić po roku.                                                     Abonament roczny.</t>
  </si>
  <si>
    <t>Licencję należy odnowić po roku.                                                                                                                                                                                           Abonament roczny.</t>
  </si>
  <si>
    <t xml:space="preserve">cena </t>
  </si>
  <si>
    <t>enova365 Konsola Produkcyjna</t>
  </si>
  <si>
    <t>enova365 Praca Hybrydowa</t>
  </si>
  <si>
    <t>enova365 Praca Hybrydowa BR</t>
  </si>
  <si>
    <t>enova365 Praca Hybrydowa w Pulpitach</t>
  </si>
  <si>
    <t>enova365 WebApi</t>
  </si>
  <si>
    <t>enova365 WMS Konektor</t>
  </si>
  <si>
    <t>enova365 Pakiet Mobilności (kierowcy)</t>
  </si>
  <si>
    <t>enova365 Nieruchomości BR</t>
  </si>
  <si>
    <t>enova365 Nieruchomości</t>
  </si>
  <si>
    <t xml:space="preserve">enova365 BI  </t>
  </si>
  <si>
    <t>enova365 Flota</t>
  </si>
  <si>
    <t>enova365 Flota 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</si>
</sst>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quot;zł&quot;* #,##0.00_);_(&quot;zł&quot;* \(#,##0.00\);_(&quot;zł&quot;* &quot;-&quot;??_);_(@_)"/>
    <numFmt numFmtId="166" formatCode="#,##0.00\ &quot;zł&quot;"/>
    <numFmt numFmtId="167" formatCode="_-* #,##0.0000\ _z_ł_-;\-* #,##0.0000\ _z_ł_-;_-* &quot;-&quot;??\ _z_ł_-;_-@_-"/>
    <numFmt numFmtId="168" formatCode="_(* #,##0_);_(* \(#,##0\);_(* &quot;-&quot;??_);_(@_)"/>
  </numFmts>
  <fonts count="42" x14ac:knownFonts="1">
    <font>
      <sz val="11"/>
      <color theme="1"/>
      <name val="Calibri"/>
      <family val="2"/>
      <charset val="238"/>
      <scheme val="minor"/>
    </font>
    <font>
      <b/>
      <sz val="11"/>
      <color theme="1"/>
      <name val="Calibri"/>
      <family val="2"/>
      <charset val="238"/>
      <scheme val="minor"/>
    </font>
    <font>
      <sz val="10"/>
      <name val="Arial CE"/>
      <charset val="238"/>
    </font>
    <font>
      <sz val="12"/>
      <color theme="1"/>
      <name val="Calibri"/>
      <family val="2"/>
      <charset val="238"/>
      <scheme val="minor"/>
    </font>
    <font>
      <sz val="8"/>
      <color rgb="FF404040"/>
      <name val="Arial"/>
      <family val="2"/>
      <charset val="238"/>
    </font>
    <font>
      <sz val="11"/>
      <color theme="1"/>
      <name val="Calibri"/>
      <family val="2"/>
      <charset val="238"/>
      <scheme val="minor"/>
    </font>
    <font>
      <b/>
      <sz val="12"/>
      <color theme="0"/>
      <name val="Calibri Light"/>
      <family val="2"/>
      <charset val="238"/>
    </font>
    <font>
      <b/>
      <sz val="12"/>
      <color theme="1"/>
      <name val="Calibri Light"/>
      <family val="2"/>
      <charset val="238"/>
    </font>
    <font>
      <sz val="12"/>
      <color theme="0"/>
      <name val="Calibri Light"/>
      <family val="2"/>
      <charset val="238"/>
    </font>
    <font>
      <sz val="11"/>
      <color theme="1"/>
      <name val="Calibri Light"/>
      <family val="2"/>
      <charset val="238"/>
    </font>
    <font>
      <sz val="12"/>
      <color theme="1"/>
      <name val="Calibri Light"/>
      <family val="2"/>
      <charset val="238"/>
    </font>
    <font>
      <b/>
      <sz val="12"/>
      <name val="Calibri Light"/>
      <family val="2"/>
      <charset val="238"/>
    </font>
    <font>
      <b/>
      <sz val="12"/>
      <color rgb="FFFF0000"/>
      <name val="Calibri Light"/>
      <family val="2"/>
      <charset val="238"/>
    </font>
    <font>
      <sz val="11"/>
      <color theme="0"/>
      <name val="Calibri Light"/>
      <family val="2"/>
      <charset val="238"/>
    </font>
    <font>
      <sz val="12"/>
      <name val="Calibri Light"/>
      <family val="2"/>
      <charset val="238"/>
    </font>
    <font>
      <b/>
      <sz val="13"/>
      <color theme="1"/>
      <name val="Calibri Light"/>
      <family val="2"/>
      <charset val="238"/>
    </font>
    <font>
      <sz val="13"/>
      <color theme="1"/>
      <name val="Calibri Light"/>
      <family val="2"/>
      <charset val="238"/>
    </font>
    <font>
      <b/>
      <sz val="13"/>
      <color rgb="FFFF0000"/>
      <name val="Calibri Light"/>
      <family val="2"/>
      <charset val="238"/>
    </font>
    <font>
      <b/>
      <sz val="11"/>
      <color theme="1"/>
      <name val="Calibri Light"/>
      <family val="2"/>
      <charset val="238"/>
    </font>
    <font>
      <sz val="11"/>
      <name val="Calibri"/>
      <family val="2"/>
      <charset val="238"/>
      <scheme val="minor"/>
    </font>
    <font>
      <sz val="12"/>
      <name val="Calibri"/>
      <family val="2"/>
      <charset val="238"/>
    </font>
    <font>
      <b/>
      <sz val="11"/>
      <color rgb="FFFF0000"/>
      <name val="Calibri"/>
      <family val="2"/>
      <charset val="238"/>
      <scheme val="minor"/>
    </font>
    <font>
      <u/>
      <sz val="11"/>
      <color theme="10"/>
      <name val="Calibri"/>
      <family val="2"/>
      <charset val="238"/>
      <scheme val="minor"/>
    </font>
    <font>
      <b/>
      <sz val="12"/>
      <color theme="6" tint="-0.249977111117893"/>
      <name val="Calibri Light"/>
      <family val="2"/>
      <charset val="238"/>
    </font>
    <font>
      <b/>
      <sz val="11"/>
      <color rgb="FFFF0000"/>
      <name val="Calibri Light"/>
      <family val="2"/>
      <charset val="238"/>
    </font>
    <font>
      <sz val="9"/>
      <color indexed="81"/>
      <name val="Tahoma"/>
      <family val="2"/>
      <charset val="238"/>
    </font>
    <font>
      <b/>
      <sz val="9"/>
      <color indexed="81"/>
      <name val="Tahoma"/>
      <family val="2"/>
      <charset val="238"/>
    </font>
    <font>
      <b/>
      <sz val="9"/>
      <color indexed="10"/>
      <name val="Tahoma"/>
      <family val="2"/>
      <charset val="238"/>
    </font>
    <font>
      <b/>
      <sz val="11"/>
      <name val="Calibri"/>
      <family val="2"/>
      <charset val="238"/>
      <scheme val="minor"/>
    </font>
    <font>
      <b/>
      <sz val="16"/>
      <color theme="0"/>
      <name val="Calibri Light"/>
      <family val="2"/>
      <charset val="238"/>
    </font>
    <font>
      <b/>
      <sz val="14"/>
      <color theme="1"/>
      <name val="Calibri Light"/>
      <family val="2"/>
      <charset val="238"/>
    </font>
    <font>
      <u/>
      <sz val="18"/>
      <color theme="10"/>
      <name val="Calibri"/>
      <family val="2"/>
      <charset val="238"/>
      <scheme val="minor"/>
    </font>
    <font>
      <b/>
      <u/>
      <sz val="11"/>
      <color rgb="FFFF0000"/>
      <name val="Calibri Light"/>
      <family val="2"/>
      <charset val="238"/>
    </font>
    <font>
      <b/>
      <sz val="12"/>
      <color rgb="FF76933C"/>
      <name val="Calibri Light"/>
      <family val="2"/>
      <charset val="238"/>
    </font>
    <font>
      <sz val="11"/>
      <color rgb="FF76933C"/>
      <name val="Calibri"/>
      <family val="2"/>
      <charset val="238"/>
      <scheme val="minor"/>
    </font>
    <font>
      <sz val="11"/>
      <color rgb="FF76933C"/>
      <name val="Calibri Light"/>
      <family val="2"/>
      <charset val="238"/>
    </font>
    <font>
      <sz val="11"/>
      <name val="Calibri"/>
      <family val="2"/>
      <charset val="238"/>
      <scheme val="minor"/>
    </font>
    <font>
      <b/>
      <sz val="14"/>
      <color rgb="FF76933C"/>
      <name val="Calibri"/>
      <family val="2"/>
      <charset val="238"/>
      <scheme val="minor"/>
    </font>
    <font>
      <b/>
      <sz val="11"/>
      <color rgb="FF76933C"/>
      <name val="Calibri"/>
      <family val="2"/>
      <charset val="238"/>
      <scheme val="minor"/>
    </font>
    <font>
      <b/>
      <sz val="11"/>
      <color theme="1"/>
      <name val="Calibri"/>
      <family val="2"/>
      <charset val="238"/>
      <scheme val="minor"/>
    </font>
    <font>
      <b/>
      <sz val="12"/>
      <color theme="6" tint="-0.249977111117893"/>
      <name val="Calibri"/>
      <family val="2"/>
      <charset val="238"/>
      <scheme val="minor"/>
    </font>
    <font>
      <sz val="11"/>
      <name val="Calibri"/>
      <family val="2"/>
      <charset val="238"/>
      <scheme val="minor"/>
    </font>
  </fonts>
  <fills count="18">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2F2F2"/>
        <bgColor indexed="64"/>
      </patternFill>
    </fill>
    <fill>
      <patternFill patternType="solid">
        <fgColor rgb="FF92CDDC"/>
        <bgColor indexed="64"/>
      </patternFill>
    </fill>
    <fill>
      <patternFill patternType="solid">
        <fgColor rgb="FFFDF8A6"/>
        <bgColor indexed="64"/>
      </patternFill>
    </fill>
    <fill>
      <patternFill patternType="solid">
        <fgColor rgb="FFD9D9D9"/>
        <bgColor indexed="64"/>
      </patternFill>
    </fill>
    <fill>
      <patternFill patternType="solid">
        <fgColor rgb="FFDAEEF3"/>
        <bgColor indexed="64"/>
      </patternFill>
    </fill>
    <fill>
      <patternFill patternType="solid">
        <fgColor rgb="FF000080"/>
        <bgColor indexed="64"/>
      </patternFill>
    </fill>
  </fills>
  <borders count="4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6">
    <xf numFmtId="0" fontId="0" fillId="0" borderId="0"/>
    <xf numFmtId="0" fontId="2" fillId="0" borderId="0"/>
    <xf numFmtId="165" fontId="2"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22" fillId="0" borderId="0" applyNumberFormat="0" applyFill="0" applyBorder="0" applyAlignment="0" applyProtection="0"/>
  </cellStyleXfs>
  <cellXfs count="291">
    <xf numFmtId="0" fontId="0" fillId="0" borderId="0" xfId="0"/>
    <xf numFmtId="0" fontId="0" fillId="0" borderId="0" xfId="0" applyAlignment="1">
      <alignment horizontal="left"/>
    </xf>
    <xf numFmtId="0" fontId="1" fillId="0" borderId="0" xfId="0" applyFont="1"/>
    <xf numFmtId="3" fontId="0" fillId="0" borderId="0" xfId="0" applyNumberFormat="1"/>
    <xf numFmtId="0" fontId="1" fillId="6" borderId="0" xfId="0" applyFont="1" applyFill="1"/>
    <xf numFmtId="0" fontId="1" fillId="10" borderId="0" xfId="0" applyFont="1" applyFill="1"/>
    <xf numFmtId="0" fontId="6" fillId="13" borderId="12" xfId="0" applyFont="1" applyFill="1" applyBorder="1" applyAlignment="1">
      <alignment horizontal="center" vertical="center"/>
    </xf>
    <xf numFmtId="0" fontId="6" fillId="13" borderId="13" xfId="0" applyFont="1" applyFill="1" applyBorder="1" applyAlignment="1">
      <alignment horizontal="center" vertical="center"/>
    </xf>
    <xf numFmtId="166" fontId="6" fillId="13" borderId="13" xfId="0" applyNumberFormat="1"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14" xfId="0" applyFont="1" applyFill="1" applyBorder="1" applyAlignment="1">
      <alignment horizontal="center" vertical="center"/>
    </xf>
    <xf numFmtId="0" fontId="8" fillId="13" borderId="10" xfId="0" applyFont="1" applyFill="1" applyBorder="1" applyAlignment="1">
      <alignment horizontal="center" vertical="center" wrapText="1"/>
    </xf>
    <xf numFmtId="0" fontId="8" fillId="13" borderId="11" xfId="0" applyFont="1" applyFill="1" applyBorder="1" applyAlignment="1">
      <alignment horizontal="center" vertical="center"/>
    </xf>
    <xf numFmtId="0" fontId="9" fillId="0" borderId="0" xfId="0" applyFont="1"/>
    <xf numFmtId="0" fontId="10" fillId="14" borderId="19" xfId="0" applyFont="1" applyFill="1" applyBorder="1" applyAlignment="1">
      <alignment horizontal="center"/>
    </xf>
    <xf numFmtId="4" fontId="10" fillId="8" borderId="6" xfId="0" applyNumberFormat="1" applyFont="1" applyFill="1" applyBorder="1"/>
    <xf numFmtId="0" fontId="10" fillId="14" borderId="6" xfId="0" applyFont="1" applyFill="1" applyBorder="1" applyAlignment="1">
      <alignment horizontal="center"/>
    </xf>
    <xf numFmtId="4" fontId="10" fillId="8" borderId="8" xfId="0" applyNumberFormat="1" applyFont="1" applyFill="1" applyBorder="1"/>
    <xf numFmtId="4" fontId="10" fillId="8" borderId="6" xfId="0" applyNumberFormat="1" applyFont="1" applyFill="1" applyBorder="1" applyAlignment="1">
      <alignment horizontal="right"/>
    </xf>
    <xf numFmtId="4" fontId="10" fillId="8" borderId="6" xfId="0" applyNumberFormat="1" applyFont="1" applyFill="1" applyBorder="1" applyAlignment="1">
      <alignment horizontal="center"/>
    </xf>
    <xf numFmtId="4" fontId="7" fillId="15" borderId="8" xfId="0" applyNumberFormat="1" applyFont="1" applyFill="1" applyBorder="1"/>
    <xf numFmtId="0" fontId="10" fillId="13" borderId="6" xfId="0" applyFont="1" applyFill="1" applyBorder="1"/>
    <xf numFmtId="4" fontId="10" fillId="13" borderId="8" xfId="0" applyNumberFormat="1" applyFont="1" applyFill="1" applyBorder="1"/>
    <xf numFmtId="0" fontId="10" fillId="14" borderId="20" xfId="0" applyFont="1" applyFill="1" applyBorder="1" applyAlignment="1">
      <alignment horizontal="center"/>
    </xf>
    <xf numFmtId="0" fontId="7" fillId="15" borderId="7" xfId="0" applyFont="1" applyFill="1" applyBorder="1" applyAlignment="1">
      <alignment horizontal="center"/>
    </xf>
    <xf numFmtId="0" fontId="7" fillId="15" borderId="6" xfId="0" applyFont="1" applyFill="1" applyBorder="1"/>
    <xf numFmtId="4" fontId="7" fillId="15" borderId="6" xfId="0" applyNumberFormat="1" applyFont="1" applyFill="1" applyBorder="1"/>
    <xf numFmtId="0" fontId="7" fillId="15" borderId="6" xfId="0" applyFont="1" applyFill="1" applyBorder="1" applyAlignment="1">
      <alignment horizontal="center"/>
    </xf>
    <xf numFmtId="4" fontId="10" fillId="13" borderId="6" xfId="0" applyNumberFormat="1" applyFont="1" applyFill="1" applyBorder="1"/>
    <xf numFmtId="0" fontId="10" fillId="8" borderId="7" xfId="0" applyFont="1" applyFill="1" applyBorder="1" applyAlignment="1">
      <alignment horizontal="center" vertical="center"/>
    </xf>
    <xf numFmtId="0" fontId="10" fillId="8" borderId="6" xfId="0" applyFont="1" applyFill="1" applyBorder="1"/>
    <xf numFmtId="0" fontId="10" fillId="8" borderId="6" xfId="0" applyFont="1" applyFill="1" applyBorder="1" applyAlignment="1">
      <alignment horizontal="center"/>
    </xf>
    <xf numFmtId="0" fontId="10" fillId="8" borderId="7" xfId="0" applyFont="1" applyFill="1" applyBorder="1"/>
    <xf numFmtId="0" fontId="7" fillId="2" borderId="6" xfId="0" applyFont="1" applyFill="1" applyBorder="1"/>
    <xf numFmtId="4" fontId="7" fillId="2" borderId="6" xfId="0" applyNumberFormat="1" applyFont="1" applyFill="1" applyBorder="1"/>
    <xf numFmtId="4" fontId="7" fillId="2" borderId="8" xfId="0" applyNumberFormat="1" applyFont="1" applyFill="1" applyBorder="1"/>
    <xf numFmtId="0" fontId="7" fillId="2" borderId="7" xfId="0" applyFont="1" applyFill="1" applyBorder="1" applyAlignment="1">
      <alignment horizontal="center"/>
    </xf>
    <xf numFmtId="0" fontId="7" fillId="7" borderId="7" xfId="0" applyFont="1" applyFill="1" applyBorder="1" applyAlignment="1">
      <alignment horizontal="center"/>
    </xf>
    <xf numFmtId="0" fontId="7" fillId="7" borderId="15" xfId="0" applyFont="1" applyFill="1" applyBorder="1"/>
    <xf numFmtId="4" fontId="7" fillId="7" borderId="16" xfId="0" applyNumberFormat="1" applyFont="1" applyFill="1" applyBorder="1"/>
    <xf numFmtId="0" fontId="10" fillId="7" borderId="21" xfId="0" applyFont="1" applyFill="1" applyBorder="1"/>
    <xf numFmtId="0" fontId="10" fillId="7" borderId="23" xfId="0" applyFont="1" applyFill="1" applyBorder="1"/>
    <xf numFmtId="0" fontId="9" fillId="0" borderId="1" xfId="0" applyFont="1" applyBorder="1"/>
    <xf numFmtId="0" fontId="9" fillId="0" borderId="2" xfId="0" applyFont="1" applyBorder="1"/>
    <xf numFmtId="0" fontId="9" fillId="0" borderId="3" xfId="0" applyFont="1" applyBorder="1"/>
    <xf numFmtId="0" fontId="9" fillId="0" borderId="5" xfId="0" applyFont="1" applyBorder="1"/>
    <xf numFmtId="2" fontId="7" fillId="2" borderId="6" xfId="0" applyNumberFormat="1" applyFont="1" applyFill="1" applyBorder="1"/>
    <xf numFmtId="0" fontId="10" fillId="8" borderId="7" xfId="0" applyFont="1" applyFill="1" applyBorder="1" applyAlignment="1">
      <alignment horizontal="center" wrapText="1"/>
    </xf>
    <xf numFmtId="9" fontId="10" fillId="8" borderId="6" xfId="0" applyNumberFormat="1" applyFont="1" applyFill="1" applyBorder="1" applyAlignment="1">
      <alignment vertical="center"/>
    </xf>
    <xf numFmtId="4" fontId="10" fillId="8" borderId="8" xfId="0" applyNumberFormat="1" applyFont="1" applyFill="1" applyBorder="1" applyAlignment="1">
      <alignment vertical="center"/>
    </xf>
    <xf numFmtId="0" fontId="9" fillId="0" borderId="0" xfId="0" applyFont="1" applyAlignment="1">
      <alignment vertical="center"/>
    </xf>
    <xf numFmtId="4" fontId="7" fillId="8" borderId="8" xfId="0" applyNumberFormat="1" applyFont="1" applyFill="1" applyBorder="1" applyAlignment="1">
      <alignment horizontal="right"/>
    </xf>
    <xf numFmtId="0" fontId="7" fillId="2" borderId="6" xfId="0" applyFont="1" applyFill="1" applyBorder="1" applyAlignment="1">
      <alignment horizontal="center"/>
    </xf>
    <xf numFmtId="0" fontId="9" fillId="0" borderId="4" xfId="0" applyFont="1" applyBorder="1"/>
    <xf numFmtId="0" fontId="6" fillId="13" borderId="18" xfId="0" applyFont="1" applyFill="1" applyBorder="1" applyAlignment="1">
      <alignment vertical="center"/>
    </xf>
    <xf numFmtId="0" fontId="6" fillId="13" borderId="29" xfId="0" applyFont="1" applyFill="1" applyBorder="1" applyAlignment="1">
      <alignment vertical="center"/>
    </xf>
    <xf numFmtId="0" fontId="6" fillId="13" borderId="6" xfId="0" applyFont="1" applyFill="1" applyBorder="1" applyAlignment="1">
      <alignment horizontal="center" vertical="center"/>
    </xf>
    <xf numFmtId="0" fontId="6" fillId="13" borderId="8" xfId="0" applyFont="1" applyFill="1" applyBorder="1" applyAlignment="1">
      <alignment horizontal="center" vertical="center"/>
    </xf>
    <xf numFmtId="0" fontId="8" fillId="13" borderId="6" xfId="0" applyFont="1" applyFill="1" applyBorder="1"/>
    <xf numFmtId="0" fontId="13" fillId="13" borderId="8" xfId="0" applyFont="1" applyFill="1" applyBorder="1"/>
    <xf numFmtId="4" fontId="8" fillId="13" borderId="6" xfId="0" applyNumberFormat="1" applyFont="1" applyFill="1" applyBorder="1"/>
    <xf numFmtId="4" fontId="8" fillId="13" borderId="8" xfId="0" applyNumberFormat="1" applyFont="1" applyFill="1" applyBorder="1"/>
    <xf numFmtId="0" fontId="8" fillId="13" borderId="6" xfId="0" applyFont="1" applyFill="1" applyBorder="1" applyAlignment="1">
      <alignment horizontal="center"/>
    </xf>
    <xf numFmtId="0" fontId="7" fillId="16" borderId="12" xfId="0" applyFont="1" applyFill="1" applyBorder="1"/>
    <xf numFmtId="0" fontId="11" fillId="16" borderId="12" xfId="0" applyFont="1" applyFill="1" applyBorder="1"/>
    <xf numFmtId="0" fontId="11" fillId="16" borderId="13" xfId="0" applyFont="1" applyFill="1" applyBorder="1"/>
    <xf numFmtId="4" fontId="11" fillId="16" borderId="14" xfId="0" applyNumberFormat="1" applyFont="1" applyFill="1" applyBorder="1"/>
    <xf numFmtId="0" fontId="14" fillId="16" borderId="13" xfId="0" applyFont="1" applyFill="1" applyBorder="1"/>
    <xf numFmtId="0" fontId="10" fillId="14" borderId="20" xfId="0" applyFont="1" applyFill="1" applyBorder="1" applyAlignment="1">
      <alignment horizontal="center" vertical="center"/>
    </xf>
    <xf numFmtId="0" fontId="10" fillId="14" borderId="6" xfId="0" applyFont="1" applyFill="1" applyBorder="1" applyAlignment="1">
      <alignment horizontal="center" vertical="center"/>
    </xf>
    <xf numFmtId="4" fontId="10" fillId="8" borderId="7" xfId="0" applyNumberFormat="1" applyFont="1" applyFill="1" applyBorder="1"/>
    <xf numFmtId="0" fontId="10" fillId="2" borderId="6" xfId="0" applyFont="1" applyFill="1" applyBorder="1" applyAlignment="1">
      <alignment horizontal="center"/>
    </xf>
    <xf numFmtId="4" fontId="10" fillId="2" borderId="6" xfId="0" applyNumberFormat="1" applyFont="1" applyFill="1" applyBorder="1"/>
    <xf numFmtId="0" fontId="7" fillId="11" borderId="7" xfId="0" applyFont="1" applyFill="1" applyBorder="1" applyAlignment="1">
      <alignment horizontal="center" vertical="center" wrapText="1"/>
    </xf>
    <xf numFmtId="0" fontId="7" fillId="11" borderId="25" xfId="0" applyFont="1" applyFill="1" applyBorder="1" applyAlignment="1">
      <alignment horizontal="center"/>
    </xf>
    <xf numFmtId="0" fontId="15" fillId="11" borderId="7" xfId="0" applyFont="1" applyFill="1" applyBorder="1" applyAlignment="1">
      <alignment horizontal="center" vertical="center" wrapText="1"/>
    </xf>
    <xf numFmtId="0" fontId="15" fillId="7" borderId="7" xfId="0" applyFont="1" applyFill="1" applyBorder="1" applyAlignment="1">
      <alignment horizontal="center"/>
    </xf>
    <xf numFmtId="0" fontId="15" fillId="7" borderId="15" xfId="0" applyFont="1" applyFill="1" applyBorder="1"/>
    <xf numFmtId="4" fontId="15" fillId="7" borderId="16" xfId="0" applyNumberFormat="1" applyFont="1" applyFill="1" applyBorder="1"/>
    <xf numFmtId="0" fontId="16" fillId="7" borderId="21" xfId="0" applyFont="1" applyFill="1" applyBorder="1"/>
    <xf numFmtId="0" fontId="16" fillId="7" borderId="23" xfId="0" applyFont="1" applyFill="1" applyBorder="1"/>
    <xf numFmtId="0" fontId="16" fillId="16" borderId="13" xfId="0" applyFont="1" applyFill="1" applyBorder="1"/>
    <xf numFmtId="4" fontId="15" fillId="16" borderId="14" xfId="0" applyNumberFormat="1" applyFont="1" applyFill="1" applyBorder="1"/>
    <xf numFmtId="0" fontId="6" fillId="13" borderId="22" xfId="0" applyFont="1" applyFill="1" applyBorder="1" applyAlignment="1">
      <alignment horizontal="center" vertical="center"/>
    </xf>
    <xf numFmtId="4" fontId="6" fillId="13" borderId="6" xfId="0" applyNumberFormat="1" applyFont="1" applyFill="1" applyBorder="1" applyAlignment="1">
      <alignment horizontal="center" vertical="center"/>
    </xf>
    <xf numFmtId="4" fontId="6" fillId="13" borderId="8" xfId="0" applyNumberFormat="1" applyFont="1" applyFill="1" applyBorder="1"/>
    <xf numFmtId="3" fontId="10" fillId="14" borderId="6" xfId="0" applyNumberFormat="1" applyFont="1" applyFill="1" applyBorder="1" applyAlignment="1">
      <alignment horizontal="center"/>
    </xf>
    <xf numFmtId="0" fontId="7" fillId="0" borderId="0" xfId="0" applyFont="1" applyAlignment="1">
      <alignment horizontal="center" vertical="center" wrapText="1"/>
    </xf>
    <xf numFmtId="0" fontId="9" fillId="0" borderId="1" xfId="0" applyFont="1" applyBorder="1" applyAlignment="1">
      <alignment horizontal="right" vertical="center"/>
    </xf>
    <xf numFmtId="0" fontId="7" fillId="11" borderId="30" xfId="0" applyFont="1" applyFill="1" applyBorder="1" applyAlignment="1">
      <alignment horizontal="left" vertical="center"/>
    </xf>
    <xf numFmtId="0" fontId="15" fillId="11" borderId="25" xfId="0" applyFont="1" applyFill="1" applyBorder="1" applyAlignment="1">
      <alignment horizontal="left"/>
    </xf>
    <xf numFmtId="0" fontId="15" fillId="11" borderId="26" xfId="0" applyFont="1" applyFill="1" applyBorder="1" applyAlignment="1">
      <alignment horizontal="left"/>
    </xf>
    <xf numFmtId="0" fontId="3" fillId="0" borderId="0" xfId="0" applyFont="1" applyAlignment="1">
      <alignment horizontal="left"/>
    </xf>
    <xf numFmtId="0" fontId="6" fillId="13" borderId="7" xfId="0" applyFont="1" applyFill="1" applyBorder="1" applyAlignment="1">
      <alignment horizontal="center" vertical="center"/>
    </xf>
    <xf numFmtId="9" fontId="10" fillId="14" borderId="6" xfId="0" applyNumberFormat="1" applyFont="1" applyFill="1" applyBorder="1" applyAlignment="1">
      <alignment horizontal="center"/>
    </xf>
    <xf numFmtId="4" fontId="10" fillId="7" borderId="8" xfId="0" applyNumberFormat="1" applyFont="1" applyFill="1" applyBorder="1"/>
    <xf numFmtId="0" fontId="15" fillId="14" borderId="6" xfId="0" applyFont="1" applyFill="1" applyBorder="1"/>
    <xf numFmtId="9" fontId="16" fillId="14" borderId="6" xfId="0" applyNumberFormat="1" applyFont="1" applyFill="1" applyBorder="1"/>
    <xf numFmtId="0" fontId="16" fillId="14" borderId="6" xfId="0" applyFont="1" applyFill="1" applyBorder="1" applyAlignment="1">
      <alignment horizontal="center"/>
    </xf>
    <xf numFmtId="4" fontId="16" fillId="7" borderId="8" xfId="0" applyNumberFormat="1" applyFont="1" applyFill="1" applyBorder="1"/>
    <xf numFmtId="0" fontId="10" fillId="0" borderId="0" xfId="0" applyFont="1"/>
    <xf numFmtId="164" fontId="7" fillId="0" borderId="0" xfId="4" applyFont="1"/>
    <xf numFmtId="164" fontId="10" fillId="0" borderId="0" xfId="4" applyFont="1" applyAlignment="1">
      <alignment horizontal="left"/>
    </xf>
    <xf numFmtId="0" fontId="10" fillId="0" borderId="0" xfId="0" applyFont="1" applyAlignment="1">
      <alignment horizontal="left"/>
    </xf>
    <xf numFmtId="0" fontId="11" fillId="15" borderId="7" xfId="0" applyFont="1" applyFill="1" applyBorder="1" applyAlignment="1">
      <alignment horizontal="center"/>
    </xf>
    <xf numFmtId="0" fontId="10" fillId="15" borderId="10" xfId="0" applyFont="1" applyFill="1" applyBorder="1"/>
    <xf numFmtId="4" fontId="10" fillId="15" borderId="6" xfId="0" applyNumberFormat="1" applyFont="1" applyFill="1" applyBorder="1"/>
    <xf numFmtId="0" fontId="10" fillId="15" borderId="6" xfId="0" applyFont="1" applyFill="1" applyBorder="1" applyAlignment="1">
      <alignment horizontal="center"/>
    </xf>
    <xf numFmtId="0" fontId="7" fillId="13" borderId="6" xfId="0" applyFont="1" applyFill="1" applyBorder="1" applyAlignment="1">
      <alignment horizontal="center" vertical="center"/>
    </xf>
    <xf numFmtId="164" fontId="10" fillId="0" borderId="0" xfId="4" applyFont="1"/>
    <xf numFmtId="164" fontId="10" fillId="0" borderId="0" xfId="4" applyFont="1" applyFill="1"/>
    <xf numFmtId="0" fontId="10" fillId="14" borderId="6" xfId="0" applyFont="1" applyFill="1" applyBorder="1" applyAlignment="1">
      <alignment horizontal="center" wrapText="1"/>
    </xf>
    <xf numFmtId="0" fontId="10" fillId="16" borderId="13" xfId="0" applyFont="1" applyFill="1" applyBorder="1"/>
    <xf numFmtId="4" fontId="7" fillId="16" borderId="14" xfId="0" applyNumberFormat="1" applyFont="1" applyFill="1" applyBorder="1"/>
    <xf numFmtId="164" fontId="9" fillId="0" borderId="0" xfId="4" applyFont="1"/>
    <xf numFmtId="164" fontId="18" fillId="0" borderId="0" xfId="4" applyFont="1"/>
    <xf numFmtId="4" fontId="0" fillId="0" borderId="0" xfId="0" applyNumberFormat="1"/>
    <xf numFmtId="0" fontId="10" fillId="12" borderId="6" xfId="0" applyFont="1" applyFill="1" applyBorder="1" applyAlignment="1">
      <alignment horizontal="center"/>
    </xf>
    <xf numFmtId="0" fontId="10" fillId="12" borderId="19" xfId="0" applyFont="1" applyFill="1" applyBorder="1" applyAlignment="1">
      <alignment horizontal="center"/>
    </xf>
    <xf numFmtId="4" fontId="9" fillId="0" borderId="0" xfId="0" applyNumberFormat="1" applyFont="1"/>
    <xf numFmtId="164" fontId="10" fillId="0" borderId="0" xfId="4" applyFont="1" applyFill="1" applyBorder="1"/>
    <xf numFmtId="164" fontId="10" fillId="0" borderId="0" xfId="0" applyNumberFormat="1" applyFont="1"/>
    <xf numFmtId="4" fontId="7" fillId="0" borderId="0" xfId="0" applyNumberFormat="1" applyFont="1"/>
    <xf numFmtId="4" fontId="10" fillId="0" borderId="0" xfId="0" applyNumberFormat="1" applyFont="1"/>
    <xf numFmtId="0" fontId="7" fillId="0" borderId="0" xfId="0" applyFont="1"/>
    <xf numFmtId="167" fontId="10" fillId="0" borderId="0" xfId="0" applyNumberFormat="1" applyFont="1"/>
    <xf numFmtId="4" fontId="10" fillId="8" borderId="7" xfId="0" applyNumberFormat="1" applyFont="1" applyFill="1" applyBorder="1" applyAlignment="1">
      <alignment wrapText="1"/>
    </xf>
    <xf numFmtId="4" fontId="7" fillId="13" borderId="8" xfId="0" applyNumberFormat="1" applyFont="1" applyFill="1" applyBorder="1"/>
    <xf numFmtId="0" fontId="14" fillId="8" borderId="7" xfId="0" applyFont="1" applyFill="1" applyBorder="1" applyAlignment="1">
      <alignment horizontal="left"/>
    </xf>
    <xf numFmtId="0" fontId="10" fillId="15" borderId="6" xfId="0" applyFont="1" applyFill="1" applyBorder="1"/>
    <xf numFmtId="0" fontId="6" fillId="13" borderId="6" xfId="0" applyFont="1" applyFill="1" applyBorder="1" applyAlignment="1">
      <alignment horizontal="center"/>
    </xf>
    <xf numFmtId="0" fontId="16" fillId="0" borderId="0" xfId="0" applyFont="1"/>
    <xf numFmtId="4" fontId="15" fillId="11" borderId="16" xfId="0" applyNumberFormat="1" applyFont="1" applyFill="1" applyBorder="1" applyAlignment="1">
      <alignment horizontal="right" vertical="center"/>
    </xf>
    <xf numFmtId="4" fontId="15" fillId="11" borderId="11" xfId="0" applyNumberFormat="1" applyFont="1" applyFill="1" applyBorder="1" applyAlignment="1">
      <alignment horizontal="right" vertical="center"/>
    </xf>
    <xf numFmtId="2" fontId="15" fillId="11" borderId="15" xfId="0" applyNumberFormat="1" applyFont="1" applyFill="1" applyBorder="1" applyAlignment="1">
      <alignment horizontal="center"/>
    </xf>
    <xf numFmtId="49" fontId="15" fillId="11" borderId="27" xfId="0" applyNumberFormat="1" applyFont="1" applyFill="1" applyBorder="1" applyAlignment="1">
      <alignment horizontal="left" vertical="center"/>
    </xf>
    <xf numFmtId="49" fontId="15" fillId="11" borderId="28" xfId="0" applyNumberFormat="1" applyFont="1" applyFill="1" applyBorder="1" applyAlignment="1">
      <alignment horizontal="left" vertical="center"/>
    </xf>
    <xf numFmtId="0" fontId="9" fillId="0" borderId="31" xfId="0" applyFont="1" applyBorder="1"/>
    <xf numFmtId="4" fontId="15" fillId="11" borderId="16" xfId="0" applyNumberFormat="1" applyFont="1" applyFill="1" applyBorder="1" applyAlignment="1">
      <alignment horizontal="right"/>
    </xf>
    <xf numFmtId="168" fontId="9" fillId="0" borderId="0" xfId="4" applyNumberFormat="1" applyFont="1" applyFill="1"/>
    <xf numFmtId="0" fontId="9" fillId="0" borderId="0" xfId="0" quotePrefix="1" applyFont="1"/>
    <xf numFmtId="10" fontId="9" fillId="0" borderId="0" xfId="0" applyNumberFormat="1" applyFont="1"/>
    <xf numFmtId="168" fontId="9" fillId="0" borderId="0" xfId="0" applyNumberFormat="1" applyFont="1"/>
    <xf numFmtId="164" fontId="9" fillId="0" borderId="0" xfId="4" quotePrefix="1" applyFont="1" applyFill="1"/>
    <xf numFmtId="10" fontId="9" fillId="0" borderId="0" xfId="3" applyNumberFormat="1" applyFont="1" applyFill="1"/>
    <xf numFmtId="164" fontId="9" fillId="0" borderId="0" xfId="4" applyFont="1" applyFill="1"/>
    <xf numFmtId="0" fontId="10" fillId="14" borderId="20" xfId="0" applyFont="1" applyFill="1" applyBorder="1" applyAlignment="1">
      <alignment horizontal="center" wrapText="1"/>
    </xf>
    <xf numFmtId="0" fontId="0" fillId="0" borderId="0" xfId="0" applyAlignment="1">
      <alignment wrapText="1"/>
    </xf>
    <xf numFmtId="0" fontId="10" fillId="7" borderId="15" xfId="0" applyFont="1" applyFill="1" applyBorder="1"/>
    <xf numFmtId="9" fontId="10" fillId="7" borderId="15" xfId="0" applyNumberFormat="1" applyFont="1" applyFill="1" applyBorder="1"/>
    <xf numFmtId="4" fontId="12" fillId="7" borderId="16" xfId="0" applyNumberFormat="1" applyFont="1" applyFill="1" applyBorder="1"/>
    <xf numFmtId="4" fontId="10" fillId="8" borderId="8" xfId="0" applyNumberFormat="1" applyFont="1" applyFill="1" applyBorder="1" applyAlignment="1">
      <alignment wrapText="1"/>
    </xf>
    <xf numFmtId="0" fontId="22" fillId="0" borderId="0" xfId="5" applyAlignment="1">
      <alignment vertical="center"/>
    </xf>
    <xf numFmtId="2" fontId="10" fillId="0" borderId="0" xfId="4" applyNumberFormat="1" applyFont="1"/>
    <xf numFmtId="0" fontId="10" fillId="7" borderId="15" xfId="0" applyFont="1" applyFill="1" applyBorder="1" applyAlignment="1">
      <alignment horizontal="left"/>
    </xf>
    <xf numFmtId="9" fontId="10" fillId="7" borderId="15" xfId="0" applyNumberFormat="1" applyFont="1" applyFill="1" applyBorder="1" applyAlignment="1">
      <alignment horizontal="left"/>
    </xf>
    <xf numFmtId="9" fontId="16" fillId="7" borderId="15" xfId="0" applyNumberFormat="1" applyFont="1" applyFill="1" applyBorder="1"/>
    <xf numFmtId="0" fontId="16" fillId="7" borderId="15" xfId="0" applyFont="1" applyFill="1" applyBorder="1"/>
    <xf numFmtId="4" fontId="17" fillId="7" borderId="16" xfId="0" applyNumberFormat="1" applyFont="1" applyFill="1" applyBorder="1"/>
    <xf numFmtId="4" fontId="23" fillId="12" borderId="7" xfId="0" applyNumberFormat="1" applyFont="1" applyFill="1" applyBorder="1"/>
    <xf numFmtId="4" fontId="23" fillId="8" borderId="7" xfId="0" applyNumberFormat="1" applyFont="1" applyFill="1" applyBorder="1"/>
    <xf numFmtId="164" fontId="23" fillId="0" borderId="0" xfId="4" applyFont="1" applyAlignment="1">
      <alignment vertical="top" wrapText="1"/>
    </xf>
    <xf numFmtId="2" fontId="23" fillId="0" borderId="0" xfId="4" applyNumberFormat="1" applyFont="1" applyAlignment="1">
      <alignment vertical="center" wrapText="1"/>
    </xf>
    <xf numFmtId="2" fontId="12" fillId="0" borderId="0" xfId="4" applyNumberFormat="1" applyFont="1" applyAlignment="1">
      <alignment vertical="center" wrapText="1"/>
    </xf>
    <xf numFmtId="164" fontId="12" fillId="0" borderId="0" xfId="4" applyFont="1" applyAlignment="1">
      <alignment horizontal="left"/>
    </xf>
    <xf numFmtId="0" fontId="24" fillId="0" borderId="0" xfId="0" applyFont="1"/>
    <xf numFmtId="0" fontId="21" fillId="0" borderId="0" xfId="0" applyFont="1" applyAlignment="1">
      <alignment vertical="center" wrapText="1"/>
    </xf>
    <xf numFmtId="164" fontId="12" fillId="0" borderId="0" xfId="4" applyFont="1" applyAlignment="1">
      <alignment vertical="top" wrapText="1"/>
    </xf>
    <xf numFmtId="0" fontId="0" fillId="4" borderId="0" xfId="0" applyFill="1"/>
    <xf numFmtId="9" fontId="0" fillId="0" borderId="0" xfId="0" applyNumberFormat="1"/>
    <xf numFmtId="0" fontId="1" fillId="2" borderId="0" xfId="0" applyFont="1" applyFill="1" applyAlignment="1">
      <alignment horizontal="center"/>
    </xf>
    <xf numFmtId="0" fontId="1" fillId="3" borderId="0" xfId="0" applyFont="1" applyFill="1" applyAlignment="1">
      <alignment horizontal="center"/>
    </xf>
    <xf numFmtId="0" fontId="1" fillId="5" borderId="0" xfId="0" applyFont="1" applyFill="1" applyAlignment="1">
      <alignment horizontal="center"/>
    </xf>
    <xf numFmtId="4" fontId="20" fillId="0" borderId="0" xfId="0" applyNumberFormat="1" applyFont="1" applyAlignment="1">
      <alignment wrapText="1"/>
    </xf>
    <xf numFmtId="0" fontId="1" fillId="9" borderId="0" xfId="0" applyFont="1" applyFill="1" applyAlignment="1">
      <alignment horizontal="center"/>
    </xf>
    <xf numFmtId="4" fontId="19" fillId="0" borderId="0" xfId="0" applyNumberFormat="1" applyFont="1"/>
    <xf numFmtId="1" fontId="0" fillId="0" borderId="0" xfId="0" applyNumberFormat="1"/>
    <xf numFmtId="0" fontId="1" fillId="0" borderId="0" xfId="0" applyFont="1" applyAlignment="1">
      <alignment horizontal="center"/>
    </xf>
    <xf numFmtId="3" fontId="0" fillId="0" borderId="0" xfId="0" applyNumberFormat="1" applyAlignment="1">
      <alignment horizontal="center"/>
    </xf>
    <xf numFmtId="3" fontId="19" fillId="0" borderId="0" xfId="0" applyNumberFormat="1" applyFont="1"/>
    <xf numFmtId="3" fontId="19" fillId="0" borderId="0" xfId="0" applyNumberFormat="1" applyFont="1" applyAlignment="1">
      <alignment horizontal="right"/>
    </xf>
    <xf numFmtId="9" fontId="10" fillId="14" borderId="6" xfId="3" applyFont="1" applyFill="1" applyBorder="1" applyAlignment="1">
      <alignment horizontal="center"/>
    </xf>
    <xf numFmtId="4" fontId="10" fillId="8" borderId="6" xfId="0" applyNumberFormat="1" applyFont="1" applyFill="1" applyBorder="1" applyAlignment="1">
      <alignment wrapText="1"/>
    </xf>
    <xf numFmtId="0" fontId="28" fillId="4" borderId="0" xfId="0" applyFont="1" applyFill="1"/>
    <xf numFmtId="0" fontId="19" fillId="4" borderId="0" xfId="0" applyFont="1" applyFill="1"/>
    <xf numFmtId="3" fontId="19" fillId="0" borderId="0" xfId="0" applyNumberFormat="1" applyFont="1" applyAlignment="1">
      <alignment horizontal="center"/>
    </xf>
    <xf numFmtId="0" fontId="10" fillId="8" borderId="7" xfId="0" applyFont="1" applyFill="1" applyBorder="1" applyAlignment="1">
      <alignment wrapText="1"/>
    </xf>
    <xf numFmtId="0" fontId="10" fillId="14" borderId="6" xfId="0" applyFont="1" applyFill="1" applyBorder="1" applyAlignment="1">
      <alignment horizontal="center" vertical="center" wrapText="1"/>
    </xf>
    <xf numFmtId="0" fontId="10" fillId="14" borderId="15" xfId="0" applyFont="1" applyFill="1" applyBorder="1" applyAlignment="1">
      <alignment horizontal="center" vertical="center" wrapText="1"/>
    </xf>
    <xf numFmtId="0" fontId="19" fillId="0" borderId="0" xfId="0" applyFont="1"/>
    <xf numFmtId="4" fontId="10" fillId="8" borderId="19" xfId="0" applyNumberFormat="1" applyFont="1" applyFill="1" applyBorder="1"/>
    <xf numFmtId="0" fontId="0" fillId="0" borderId="0" xfId="0" applyAlignment="1">
      <alignment horizontal="center" vertical="center"/>
    </xf>
    <xf numFmtId="164" fontId="12" fillId="0" borderId="0" xfId="4" applyFont="1"/>
    <xf numFmtId="164" fontId="33" fillId="0" borderId="0" xfId="4" applyFont="1" applyAlignment="1">
      <alignment vertical="top" wrapText="1"/>
    </xf>
    <xf numFmtId="0" fontId="33" fillId="0" borderId="0" xfId="0" applyFont="1"/>
    <xf numFmtId="164" fontId="33" fillId="0" borderId="0" xfId="4" applyFont="1"/>
    <xf numFmtId="0" fontId="34" fillId="0" borderId="0" xfId="0" applyFont="1"/>
    <xf numFmtId="0" fontId="35" fillId="0" borderId="0" xfId="0" applyFont="1"/>
    <xf numFmtId="0" fontId="10" fillId="8" borderId="21" xfId="0" applyFont="1" applyFill="1" applyBorder="1" applyAlignment="1">
      <alignment horizontal="left"/>
    </xf>
    <xf numFmtId="0" fontId="10" fillId="8" borderId="24" xfId="0" applyFont="1" applyFill="1" applyBorder="1" applyAlignment="1">
      <alignment horizontal="left"/>
    </xf>
    <xf numFmtId="3" fontId="36" fillId="0" borderId="0" xfId="0" applyNumberFormat="1" applyFont="1"/>
    <xf numFmtId="0" fontId="36" fillId="0" borderId="0" xfId="0" applyFont="1"/>
    <xf numFmtId="0" fontId="37" fillId="0" borderId="0" xfId="0" applyFont="1"/>
    <xf numFmtId="0" fontId="38" fillId="0" borderId="0" xfId="0" applyFont="1" applyAlignment="1">
      <alignment wrapText="1"/>
    </xf>
    <xf numFmtId="0" fontId="6" fillId="13" borderId="24" xfId="0" applyFont="1" applyFill="1" applyBorder="1" applyAlignment="1">
      <alignment horizontal="center"/>
    </xf>
    <xf numFmtId="0" fontId="6" fillId="13" borderId="24" xfId="0" applyFont="1" applyFill="1" applyBorder="1" applyAlignment="1">
      <alignment horizontal="center" vertical="center"/>
    </xf>
    <xf numFmtId="0" fontId="7" fillId="2" borderId="24" xfId="0" applyFont="1" applyFill="1" applyBorder="1" applyAlignment="1">
      <alignment horizontal="left"/>
    </xf>
    <xf numFmtId="0" fontId="6" fillId="13" borderId="24" xfId="0" applyFont="1" applyFill="1" applyBorder="1" applyAlignment="1">
      <alignment horizontal="center" vertical="center" wrapText="1"/>
    </xf>
    <xf numFmtId="0" fontId="39" fillId="4" borderId="0" xfId="0" applyFont="1" applyFill="1"/>
    <xf numFmtId="0" fontId="15" fillId="11" borderId="34" xfId="0" applyFont="1" applyFill="1" applyBorder="1" applyAlignment="1">
      <alignment horizontal="left"/>
    </xf>
    <xf numFmtId="49" fontId="15" fillId="11" borderId="35" xfId="0" applyNumberFormat="1" applyFont="1" applyFill="1" applyBorder="1" applyAlignment="1">
      <alignment horizontal="left" vertical="center"/>
    </xf>
    <xf numFmtId="0" fontId="10" fillId="14" borderId="19" xfId="0" applyFont="1" applyFill="1" applyBorder="1" applyAlignment="1">
      <alignment vertical="center"/>
    </xf>
    <xf numFmtId="0" fontId="10" fillId="14" borderId="20" xfId="0" applyFont="1" applyFill="1" applyBorder="1" applyAlignment="1">
      <alignment horizontal="left" vertical="center"/>
    </xf>
    <xf numFmtId="0" fontId="10" fillId="8" borderId="21" xfId="0" applyFont="1" applyFill="1" applyBorder="1"/>
    <xf numFmtId="0" fontId="10" fillId="8" borderId="24" xfId="0" applyFont="1" applyFill="1" applyBorder="1"/>
    <xf numFmtId="4" fontId="23" fillId="12" borderId="21" xfId="0" applyNumberFormat="1" applyFont="1" applyFill="1" applyBorder="1"/>
    <xf numFmtId="0" fontId="21" fillId="0" borderId="0" xfId="0" applyFont="1"/>
    <xf numFmtId="4" fontId="14" fillId="8" borderId="7" xfId="0" applyNumberFormat="1" applyFont="1" applyFill="1" applyBorder="1"/>
    <xf numFmtId="0" fontId="40" fillId="0" borderId="0" xfId="0" applyFont="1"/>
    <xf numFmtId="3" fontId="41" fillId="0" borderId="0" xfId="0" applyNumberFormat="1" applyFont="1"/>
    <xf numFmtId="0" fontId="41" fillId="0" borderId="0" xfId="0" applyFont="1"/>
    <xf numFmtId="0" fontId="12" fillId="0" borderId="0" xfId="0" applyFont="1"/>
    <xf numFmtId="4" fontId="10" fillId="12" borderId="6" xfId="0" applyNumberFormat="1" applyFont="1" applyFill="1" applyBorder="1"/>
    <xf numFmtId="0" fontId="10" fillId="12" borderId="7" xfId="0" applyFont="1" applyFill="1" applyBorder="1"/>
    <xf numFmtId="0" fontId="10" fillId="14" borderId="24" xfId="0" applyFont="1" applyFill="1" applyBorder="1" applyAlignment="1">
      <alignment horizontal="center"/>
    </xf>
    <xf numFmtId="4" fontId="10" fillId="12" borderId="8" xfId="0" applyNumberFormat="1" applyFont="1" applyFill="1" applyBorder="1"/>
    <xf numFmtId="3" fontId="0" fillId="0" borderId="0" xfId="0" applyNumberFormat="1" applyAlignment="1">
      <alignment horizontal="right"/>
    </xf>
    <xf numFmtId="0" fontId="6" fillId="13" borderId="17" xfId="0" applyFont="1" applyFill="1" applyBorder="1" applyAlignment="1">
      <alignment horizontal="center" vertical="center"/>
    </xf>
    <xf numFmtId="0" fontId="6" fillId="13" borderId="18" xfId="0" applyFont="1" applyFill="1" applyBorder="1" applyAlignment="1">
      <alignment horizontal="center" vertical="center"/>
    </xf>
    <xf numFmtId="0" fontId="6" fillId="13" borderId="33" xfId="0" applyFont="1" applyFill="1" applyBorder="1" applyAlignment="1">
      <alignment horizontal="center" vertical="center"/>
    </xf>
    <xf numFmtId="0" fontId="29" fillId="17" borderId="1" xfId="0" applyFont="1" applyFill="1" applyBorder="1" applyAlignment="1">
      <alignment horizontal="center" vertical="center"/>
    </xf>
    <xf numFmtId="0" fontId="29" fillId="17" borderId="0" xfId="0" applyFont="1" applyFill="1" applyAlignment="1">
      <alignment horizontal="center" vertical="center"/>
    </xf>
    <xf numFmtId="0" fontId="8" fillId="13" borderId="20" xfId="0" applyFont="1" applyFill="1" applyBorder="1" applyAlignment="1">
      <alignment horizontal="center" wrapText="1"/>
    </xf>
    <xf numFmtId="0" fontId="8" fillId="13" borderId="24" xfId="0" applyFont="1" applyFill="1" applyBorder="1" applyAlignment="1">
      <alignment horizontal="center" wrapText="1"/>
    </xf>
    <xf numFmtId="0" fontId="8" fillId="13" borderId="32" xfId="0" applyFont="1" applyFill="1" applyBorder="1" applyAlignment="1">
      <alignment horizontal="center" wrapText="1"/>
    </xf>
    <xf numFmtId="0" fontId="10" fillId="8" borderId="21" xfId="0" applyFont="1" applyFill="1" applyBorder="1" applyAlignment="1">
      <alignment horizontal="left"/>
    </xf>
    <xf numFmtId="0" fontId="10" fillId="8" borderId="24" xfId="0" applyFont="1" applyFill="1" applyBorder="1" applyAlignment="1">
      <alignment horizontal="left"/>
    </xf>
    <xf numFmtId="0" fontId="6" fillId="13" borderId="21" xfId="0" applyFont="1" applyFill="1" applyBorder="1" applyAlignment="1">
      <alignment horizontal="center"/>
    </xf>
    <xf numFmtId="0" fontId="6" fillId="13" borderId="24" xfId="0" applyFont="1" applyFill="1" applyBorder="1" applyAlignment="1">
      <alignment horizontal="center"/>
    </xf>
    <xf numFmtId="0" fontId="6" fillId="13" borderId="21" xfId="0" applyFont="1" applyFill="1" applyBorder="1" applyAlignment="1">
      <alignment horizontal="center" vertical="center" wrapText="1"/>
    </xf>
    <xf numFmtId="0" fontId="6" fillId="13" borderId="24" xfId="0" applyFont="1" applyFill="1" applyBorder="1" applyAlignment="1">
      <alignment horizontal="center" vertical="center"/>
    </xf>
    <xf numFmtId="0" fontId="31" fillId="0" borderId="0" xfId="5" applyFont="1" applyBorder="1" applyAlignment="1">
      <alignment horizontal="center"/>
    </xf>
    <xf numFmtId="0" fontId="30" fillId="10" borderId="0" xfId="0" applyFont="1" applyFill="1" applyAlignment="1">
      <alignment horizontal="left" vertical="center" wrapText="1"/>
    </xf>
    <xf numFmtId="0" fontId="31" fillId="0" borderId="0" xfId="5" applyFont="1" applyAlignment="1">
      <alignment horizontal="center"/>
    </xf>
    <xf numFmtId="0" fontId="6" fillId="13" borderId="21" xfId="0" applyFont="1" applyFill="1" applyBorder="1" applyAlignment="1">
      <alignment horizontal="center" vertical="center"/>
    </xf>
    <xf numFmtId="0" fontId="24" fillId="0" borderId="0" xfId="0" applyFont="1" applyAlignment="1">
      <alignment horizontal="left" wrapText="1"/>
    </xf>
    <xf numFmtId="0" fontId="22" fillId="14" borderId="20" xfId="5" applyFill="1" applyBorder="1" applyAlignment="1">
      <alignment horizontal="left" wrapText="1"/>
    </xf>
    <xf numFmtId="0" fontId="22" fillId="14" borderId="24" xfId="5" applyFill="1" applyBorder="1" applyAlignment="1">
      <alignment horizontal="left" wrapText="1"/>
    </xf>
    <xf numFmtId="0" fontId="22" fillId="14" borderId="32" xfId="5" applyFill="1" applyBorder="1" applyAlignment="1">
      <alignment horizontal="left" wrapText="1"/>
    </xf>
    <xf numFmtId="0" fontId="10" fillId="8" borderId="19" xfId="0" applyFont="1" applyFill="1" applyBorder="1" applyAlignment="1">
      <alignment horizontal="left"/>
    </xf>
    <xf numFmtId="0" fontId="14" fillId="16" borderId="22" xfId="0" applyFont="1" applyFill="1" applyBorder="1" applyAlignment="1">
      <alignment horizontal="center"/>
    </xf>
    <xf numFmtId="0" fontId="14" fillId="16" borderId="36" xfId="0" applyFont="1" applyFill="1" applyBorder="1" applyAlignment="1">
      <alignment horizontal="center"/>
    </xf>
    <xf numFmtId="0" fontId="7" fillId="2" borderId="37" xfId="0" applyFont="1" applyFill="1" applyBorder="1" applyAlignment="1">
      <alignment horizontal="center"/>
    </xf>
    <xf numFmtId="0" fontId="7" fillId="2" borderId="38" xfId="0" applyFont="1" applyFill="1" applyBorder="1" applyAlignment="1">
      <alignment horizontal="center"/>
    </xf>
    <xf numFmtId="0" fontId="7" fillId="2" borderId="39" xfId="0" applyFont="1" applyFill="1" applyBorder="1" applyAlignment="1">
      <alignment horizontal="center"/>
    </xf>
    <xf numFmtId="0" fontId="11" fillId="16" borderId="22" xfId="0" applyFont="1" applyFill="1" applyBorder="1" applyAlignment="1">
      <alignment horizontal="center"/>
    </xf>
    <xf numFmtId="0" fontId="11" fillId="16" borderId="36" xfId="0" applyFont="1" applyFill="1" applyBorder="1" applyAlignment="1">
      <alignment horizontal="center"/>
    </xf>
    <xf numFmtId="0" fontId="10" fillId="14" borderId="20" xfId="0" applyFont="1" applyFill="1" applyBorder="1" applyAlignment="1">
      <alignment horizontal="center"/>
    </xf>
    <xf numFmtId="0" fontId="10" fillId="14" borderId="19" xfId="0" applyFont="1" applyFill="1" applyBorder="1" applyAlignment="1">
      <alignment horizontal="center"/>
    </xf>
    <xf numFmtId="0" fontId="7" fillId="2" borderId="21" xfId="0" applyFont="1" applyFill="1" applyBorder="1" applyAlignment="1">
      <alignment horizontal="center"/>
    </xf>
    <xf numFmtId="0" fontId="7" fillId="2" borderId="24" xfId="0" applyFont="1" applyFill="1" applyBorder="1" applyAlignment="1">
      <alignment horizontal="center"/>
    </xf>
    <xf numFmtId="0" fontId="7" fillId="2" borderId="19" xfId="0" applyFont="1" applyFill="1" applyBorder="1" applyAlignment="1">
      <alignment horizontal="center"/>
    </xf>
    <xf numFmtId="0" fontId="10" fillId="8" borderId="20" xfId="0" applyFont="1" applyFill="1" applyBorder="1" applyAlignment="1">
      <alignment horizontal="center"/>
    </xf>
    <xf numFmtId="0" fontId="10" fillId="8" borderId="19" xfId="0" applyFont="1" applyFill="1" applyBorder="1" applyAlignment="1">
      <alignment horizontal="center"/>
    </xf>
    <xf numFmtId="0" fontId="7" fillId="2" borderId="20" xfId="0" applyFont="1" applyFill="1" applyBorder="1" applyAlignment="1">
      <alignment horizontal="center"/>
    </xf>
    <xf numFmtId="0" fontId="7" fillId="7" borderId="20" xfId="0" applyFont="1" applyFill="1" applyBorder="1" applyAlignment="1">
      <alignment horizontal="center"/>
    </xf>
    <xf numFmtId="0" fontId="7" fillId="7" borderId="19" xfId="0" applyFont="1" applyFill="1" applyBorder="1" applyAlignment="1">
      <alignment horizontal="center"/>
    </xf>
    <xf numFmtId="0" fontId="10" fillId="14" borderId="20" xfId="0" applyFont="1" applyFill="1" applyBorder="1" applyAlignment="1">
      <alignment horizontal="center" wrapText="1"/>
    </xf>
    <xf numFmtId="0" fontId="10" fillId="14" borderId="19" xfId="0" applyFont="1" applyFill="1" applyBorder="1" applyAlignment="1">
      <alignment horizontal="center" wrapText="1"/>
    </xf>
    <xf numFmtId="0" fontId="11" fillId="15" borderId="21" xfId="0" applyFont="1" applyFill="1" applyBorder="1" applyAlignment="1">
      <alignment horizontal="center"/>
    </xf>
    <xf numFmtId="0" fontId="11" fillId="15" borderId="24" xfId="0" applyFont="1" applyFill="1" applyBorder="1" applyAlignment="1">
      <alignment horizontal="center"/>
    </xf>
    <xf numFmtId="0" fontId="11" fillId="15" borderId="19" xfId="0" applyFont="1" applyFill="1" applyBorder="1" applyAlignment="1">
      <alignment horizontal="center"/>
    </xf>
    <xf numFmtId="0" fontId="6" fillId="13" borderId="22" xfId="0" applyFont="1" applyFill="1" applyBorder="1" applyAlignment="1">
      <alignment horizontal="center" vertical="center"/>
    </xf>
    <xf numFmtId="0" fontId="6" fillId="13" borderId="36" xfId="0" applyFont="1" applyFill="1" applyBorder="1" applyAlignment="1">
      <alignment horizontal="center" vertical="center"/>
    </xf>
    <xf numFmtId="4" fontId="10" fillId="8" borderId="20" xfId="0" applyNumberFormat="1" applyFont="1" applyFill="1" applyBorder="1" applyAlignment="1">
      <alignment horizontal="center"/>
    </xf>
    <xf numFmtId="4" fontId="10" fillId="8" borderId="19" xfId="0" applyNumberFormat="1" applyFont="1" applyFill="1" applyBorder="1" applyAlignment="1">
      <alignment horizontal="center"/>
    </xf>
    <xf numFmtId="0" fontId="7" fillId="2" borderId="21" xfId="0" applyFont="1" applyFill="1" applyBorder="1" applyAlignment="1">
      <alignment horizontal="left"/>
    </xf>
    <xf numFmtId="0" fontId="7" fillId="2" borderId="24" xfId="0" applyFont="1" applyFill="1" applyBorder="1" applyAlignment="1">
      <alignment horizontal="left"/>
    </xf>
    <xf numFmtId="0" fontId="10" fillId="14" borderId="20" xfId="0" applyFont="1" applyFill="1" applyBorder="1" applyAlignment="1">
      <alignment horizontal="center" vertical="center"/>
    </xf>
    <xf numFmtId="0" fontId="10" fillId="14" borderId="19" xfId="0" applyFont="1" applyFill="1" applyBorder="1" applyAlignment="1">
      <alignment horizontal="center" vertical="center"/>
    </xf>
    <xf numFmtId="0" fontId="6" fillId="13" borderId="24" xfId="0" applyFont="1" applyFill="1" applyBorder="1" applyAlignment="1">
      <alignment horizontal="center" vertical="center" wrapText="1"/>
    </xf>
    <xf numFmtId="49" fontId="7" fillId="11" borderId="25" xfId="0" quotePrefix="1" applyNumberFormat="1" applyFont="1" applyFill="1" applyBorder="1" applyAlignment="1">
      <alignment horizontal="center" vertical="center" wrapText="1"/>
    </xf>
    <xf numFmtId="49" fontId="7" fillId="11" borderId="34" xfId="0" quotePrefix="1" applyNumberFormat="1" applyFont="1" applyFill="1" applyBorder="1" applyAlignment="1">
      <alignment horizontal="center" vertical="center" wrapText="1"/>
    </xf>
    <xf numFmtId="49" fontId="7" fillId="11" borderId="26" xfId="0" quotePrefix="1" applyNumberFormat="1" applyFont="1" applyFill="1" applyBorder="1" applyAlignment="1">
      <alignment horizontal="center" vertical="center" wrapText="1"/>
    </xf>
    <xf numFmtId="0" fontId="10" fillId="8" borderId="30" xfId="0" applyFont="1" applyFill="1" applyBorder="1" applyAlignment="1">
      <alignment horizontal="center" vertical="center" wrapText="1"/>
    </xf>
    <xf numFmtId="0" fontId="10" fillId="8" borderId="9" xfId="0" applyFont="1" applyFill="1" applyBorder="1" applyAlignment="1">
      <alignment horizontal="center" vertical="center" wrapText="1"/>
    </xf>
    <xf numFmtId="49" fontId="7" fillId="2" borderId="25" xfId="0" applyNumberFormat="1" applyFont="1" applyFill="1" applyBorder="1" applyAlignment="1">
      <alignment horizontal="left" vertical="center"/>
    </xf>
    <xf numFmtId="49" fontId="7" fillId="2" borderId="26" xfId="0" applyNumberFormat="1" applyFont="1" applyFill="1" applyBorder="1" applyAlignment="1">
      <alignment horizontal="left" vertical="center"/>
    </xf>
    <xf numFmtId="49" fontId="7" fillId="2" borderId="27" xfId="0" applyNumberFormat="1" applyFont="1" applyFill="1" applyBorder="1" applyAlignment="1">
      <alignment horizontal="center" vertical="center"/>
    </xf>
    <xf numFmtId="49" fontId="7" fillId="2" borderId="28" xfId="0" applyNumberFormat="1" applyFont="1" applyFill="1" applyBorder="1" applyAlignment="1">
      <alignment horizontal="center" vertical="center"/>
    </xf>
    <xf numFmtId="0" fontId="9" fillId="0" borderId="0" xfId="0" applyFont="1" applyAlignment="1">
      <alignment horizontal="left"/>
    </xf>
  </cellXfs>
  <cellStyles count="6">
    <cellStyle name="Dziesiętny" xfId="4" builtinId="3"/>
    <cellStyle name="Hiperłącze" xfId="5" builtinId="8"/>
    <cellStyle name="Normalny" xfId="0" builtinId="0"/>
    <cellStyle name="Normalny 2" xfId="1" xr:uid="{00000000-0005-0000-0000-000003000000}"/>
    <cellStyle name="Procentowy" xfId="3" builtinId="5"/>
    <cellStyle name="Walutowy 2" xfId="2" xr:uid="{00000000-0005-0000-0000-000005000000}"/>
  </cellStyles>
  <dxfs count="39">
    <dxf>
      <numFmt numFmtId="3" formatCode="#,##0"/>
      <fill>
        <patternFill patternType="none">
          <fgColor indexed="64"/>
          <bgColor indexed="65"/>
        </patternFill>
      </fill>
    </dxf>
    <dxf>
      <font>
        <strike val="0"/>
        <outline val="0"/>
        <shadow val="0"/>
        <u val="none"/>
        <vertAlign val="baseline"/>
        <sz val="11"/>
        <color auto="1"/>
        <name val="Calibri"/>
        <scheme val="minor"/>
      </font>
      <fill>
        <patternFill patternType="solid">
          <fgColor indexed="64"/>
          <bgColor theme="6" tint="0.59999389629810485"/>
        </patternFill>
      </fill>
      <alignment horizontal="general" vertical="bottom" textRotation="0" wrapText="0" indent="0" justifyLastLine="0" shrinkToFit="0" readingOrder="0"/>
    </dxf>
    <dxf>
      <font>
        <strike val="0"/>
        <outline val="0"/>
        <shadow val="0"/>
        <u val="none"/>
        <vertAlign val="baseline"/>
        <sz val="11"/>
        <color auto="1"/>
        <name val="Calibri"/>
        <scheme val="minor"/>
      </font>
      <numFmt numFmtId="3" formatCode="#,##0"/>
    </dxf>
    <dxf>
      <font>
        <b/>
        <i val="0"/>
        <strike val="0"/>
        <condense val="0"/>
        <extend val="0"/>
        <outline val="0"/>
        <shadow val="0"/>
        <u val="none"/>
        <vertAlign val="baseline"/>
        <sz val="11"/>
        <color auto="1"/>
        <name val="Calibri"/>
        <scheme val="minor"/>
      </font>
      <fill>
        <patternFill patternType="solid">
          <fgColor indexed="64"/>
          <bgColor theme="6" tint="0.59999389629810485"/>
        </patternFill>
      </fill>
    </dxf>
    <dxf>
      <numFmt numFmtId="3" formatCode="#,##0"/>
    </dxf>
    <dxf>
      <numFmt numFmtId="3" formatCode="#,##0"/>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fill>
        <patternFill patternType="none">
          <fgColor indexed="64"/>
          <bgColor indexed="65"/>
        </patternFill>
      </fill>
    </dxf>
    <dxf>
      <font>
        <strike val="0"/>
        <outline val="0"/>
        <shadow val="0"/>
        <u val="none"/>
        <vertAlign val="baseline"/>
        <sz val="11"/>
        <color auto="1"/>
        <name val="Calibri"/>
        <scheme val="minor"/>
      </font>
      <fill>
        <patternFill patternType="solid">
          <fgColor indexed="64"/>
          <bgColor theme="6" tint="0.59999389629810485"/>
        </patternFill>
      </fill>
      <alignment horizontal="general" vertical="bottom" textRotation="0" wrapText="0" indent="0" justifyLastLine="0" shrinkToFit="0" readingOrder="0"/>
    </dxf>
    <dxf>
      <numFmt numFmtId="1" formatCode="0"/>
    </dxf>
    <dxf>
      <numFmt numFmtId="4" formatCode="#,##0.00"/>
    </dxf>
    <dxf>
      <font>
        <b/>
        <i val="0"/>
        <strike val="0"/>
        <condense val="0"/>
        <extend val="0"/>
        <outline val="0"/>
        <shadow val="0"/>
        <u val="none"/>
        <vertAlign val="baseline"/>
        <sz val="11"/>
        <color theme="1"/>
        <name val="Calibri"/>
        <scheme val="minor"/>
      </font>
      <fill>
        <patternFill patternType="solid">
          <fgColor indexed="64"/>
          <bgColor theme="6" tint="0.59999389629810485"/>
        </patternFill>
      </fill>
    </dxf>
    <dxf>
      <font>
        <strike val="0"/>
        <outline val="0"/>
        <shadow val="0"/>
        <u val="none"/>
        <vertAlign val="baseline"/>
        <sz val="11"/>
        <color auto="1"/>
        <name val="Calibri"/>
        <scheme val="minor"/>
      </font>
      <numFmt numFmtId="3" formatCode="#,##0"/>
    </dxf>
    <dxf>
      <font>
        <b/>
        <i val="0"/>
        <strike val="0"/>
        <condense val="0"/>
        <extend val="0"/>
        <outline val="0"/>
        <shadow val="0"/>
        <u val="none"/>
        <vertAlign val="baseline"/>
        <sz val="11"/>
        <color auto="1"/>
        <name val="Calibri"/>
        <scheme val="minor"/>
      </font>
      <fill>
        <patternFill patternType="solid">
          <fgColor indexed="64"/>
          <bgColor theme="6" tint="0.59999389629810485"/>
        </patternFill>
      </fill>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dxf>
    <dxf>
      <numFmt numFmtId="3" formatCode="#,##0"/>
    </dxf>
    <dxf>
      <font>
        <b val="0"/>
        <i val="0"/>
        <strike val="0"/>
        <condense val="0"/>
        <extend val="0"/>
        <outline val="0"/>
        <shadow val="0"/>
        <u val="none"/>
        <vertAlign val="baseline"/>
        <sz val="12"/>
        <color theme="1"/>
        <name val="Calibri Light"/>
        <scheme val="none"/>
      </font>
      <fill>
        <patternFill patternType="solid">
          <fgColor indexed="64"/>
          <bgColor theme="0" tint="-4.9989318521683403E-2"/>
        </patternFill>
      </fill>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numFmt numFmtId="3" formatCode="#,##0"/>
    </dxf>
    <dxf>
      <fill>
        <patternFill patternType="none">
          <fgColor indexed="64"/>
          <bgColor indexed="65"/>
        </patternFill>
      </fill>
    </dxf>
    <dxf>
      <numFmt numFmtId="4" formatCode="#,##0.0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dxf>
    <dxf>
      <numFmt numFmtId="4" formatCode="#,##0.0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alignment horizontal="center" vertical="bottom" textRotation="0" wrapText="0" indent="0" justifyLastLine="0" shrinkToFit="0" readingOrder="0"/>
    </dxf>
    <dxf>
      <fill>
        <patternFill patternType="none">
          <fgColor indexed="64"/>
          <bgColor indexed="65"/>
        </patternFill>
      </fill>
    </dxf>
  </dxfs>
  <tableStyles count="0" defaultTableStyle="TableStyleMedium2" defaultPivotStyle="PivotStyleLight16"/>
  <colors>
    <mruColors>
      <color rgb="FFFDF8A6"/>
      <color rgb="FFF2F2F2"/>
      <color rgb="FF76933C"/>
      <color rgb="FF000080"/>
      <color rgb="FFDAEEF3"/>
      <color rgb="FFD8E4BC"/>
      <color rgb="FFD9D9D9"/>
      <color rgb="FF92CDDC"/>
      <color rgb="FFFFFF6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duly_podstawowe" displayName="moduly_podstawowe" ref="A6:F33" totalsRowShown="0">
  <autoFilter ref="A6:F33" xr:uid="{00000000-0009-0000-0100-000001000000}"/>
  <tableColumns count="6">
    <tableColumn id="1" xr3:uid="{00000000-0010-0000-0000-000001000000}" name="Moduły  podstawowe" dataDxfId="38"/>
    <tableColumn id="2" xr3:uid="{00000000-0010-0000-0000-000002000000}" name="SREBRO Multi" dataDxfId="37"/>
    <tableColumn id="3" xr3:uid="{00000000-0010-0000-0000-000003000000}" name="ZŁOTO Multi" dataDxfId="36"/>
    <tableColumn id="4" xr3:uid="{00000000-0010-0000-0000-000004000000}" name="PLATYNA Multi" dataDxfId="35"/>
    <tableColumn id="5" xr3:uid="{00000000-0010-0000-0000-000005000000}" name="PLATYNA WF Multi" dataDxfId="34"/>
    <tableColumn id="6" xr3:uid="{00000000-0010-0000-0000-000006000000}" name="SaaS WF" dataDxfId="3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BI" displayName="BI" ref="A141:F147" totalsRowShown="0" headerRowDxfId="11">
  <autoFilter ref="A141:F147" xr:uid="{00000000-0009-0000-0100-00000A000000}"/>
  <tableColumns count="6">
    <tableColumn id="1" xr3:uid="{00000000-0010-0000-0900-000001000000}" name="BI"/>
    <tableColumn id="2" xr3:uid="{00000000-0010-0000-0900-000002000000}" name="złoto" dataDxfId="10"/>
    <tableColumn id="3" xr3:uid="{00000000-0010-0000-0900-000003000000}" name="platyna" dataDxfId="9"/>
    <tableColumn id="4" xr3:uid="{00000000-0010-0000-0900-000004000000}" name="BR złoto" dataDxfId="8"/>
    <tableColumn id="5" xr3:uid="{00000000-0010-0000-0900-000005000000}" name="BR platyna, WF i BRdG" dataDxfId="7"/>
    <tableColumn id="6" xr3:uid="{00000000-0010-0000-0900-000006000000}" name="SaaS BR i WF" dataDxfId="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aaS" displayName="SaaS" ref="A149:D152" totalsRowShown="0">
  <autoFilter ref="A149:D152" xr:uid="{00000000-0009-0000-0100-00000B000000}"/>
  <tableColumns count="4">
    <tableColumn id="1" xr3:uid="{00000000-0010-0000-0A00-000001000000}" name="Koszt infrastruktury na Platformie Microsoft Azure SaaS"/>
    <tableColumn id="2" xr3:uid="{00000000-0010-0000-0A00-000002000000}" name="TYP 1" dataDxfId="5"/>
    <tableColumn id="3" xr3:uid="{00000000-0010-0000-0A00-000003000000}" name="typ 2" dataDxfId="4"/>
    <tableColumn id="4" xr3:uid="{00000000-0010-0000-0A00-000004000000}" name="typ 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pulpity_WF17" displayName="pulpity_WF17" ref="A133:B139" totalsRowShown="0" headerRowDxfId="3">
  <autoFilter ref="A133:B139" xr:uid="{00000000-0009-0000-0100-000010000000}"/>
  <tableColumns count="2">
    <tableColumn id="1" xr3:uid="{00000000-0010-0000-0F00-000001000000}" name="enova365 Praca Hybrydowa w Pulpitach"/>
    <tableColumn id="2" xr3:uid="{00000000-0010-0000-0F00-000002000000}" name="Cena" dataDxfId="2"/>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F8F0B9D-A375-455D-B176-F2C7EC818E18}" name="OCR" displayName="OCR" ref="A155:B168" totalsRowShown="0" headerRowDxfId="1">
  <autoFilter ref="A155:B168" xr:uid="{CD3F0A9E-C81C-4E67-855B-843350B01F22}"/>
  <tableColumns count="2">
    <tableColumn id="1" xr3:uid="{15343BDC-E87F-403F-B125-98EB2E888397}" name="enova365 Integracja OCR"/>
    <tableColumn id="2" xr3:uid="{6517A396-2F48-43B3-9602-720E32253327}" name="roczna nielimitowane stacj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oduly_podstawowe_BR" displayName="moduly_podstawowe_BR" ref="A36:E54" totalsRowShown="0" dataDxfId="32">
  <autoFilter ref="A36:E54" xr:uid="{00000000-0009-0000-0100-000002000000}"/>
  <tableColumns count="5">
    <tableColumn id="1" xr3:uid="{00000000-0010-0000-0100-000001000000}" name="Moduły  podstawowe" dataDxfId="31"/>
    <tableColumn id="2" xr3:uid="{00000000-0010-0000-0100-000002000000}" name="SREBRO Multi" dataDxfId="30"/>
    <tableColumn id="3" xr3:uid="{00000000-0010-0000-0100-000003000000}" name="ZŁOTO Multi" dataDxfId="29"/>
    <tableColumn id="4" xr3:uid="{00000000-0010-0000-0100-000004000000}" name="PLATYNA Multi" dataDxfId="28"/>
    <tableColumn id="5" xr3:uid="{00000000-0010-0000-0100-000005000000}" name="SaaS" dataDxfId="2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oduly_dodatkowe" displayName="moduly_dodatkowe" ref="A56:C83" totalsRowShown="0">
  <autoFilter ref="A56:C83" xr:uid="{00000000-0009-0000-0100-000003000000}"/>
  <tableColumns count="3">
    <tableColumn id="1" xr3:uid="{00000000-0010-0000-0200-000001000000}" name="Moduły  dodatkowe" dataDxfId="26"/>
    <tableColumn id="2" xr3:uid="{00000000-0010-0000-0200-000002000000}" name="Cena" dataDxfId="25"/>
    <tableColumn id="4" xr3:uid="{00000000-0010-0000-0200-000004000000}" name="SaaS" dataDxfId="2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e" displayName="tabele" ref="A86:B88" totalsRowShown="0" headerRowDxfId="23">
  <autoFilter ref="A86:B88" xr:uid="{00000000-0009-0000-0100-000004000000}"/>
  <tableColumns count="2">
    <tableColumn id="1" xr3:uid="{00000000-0010-0000-0300-000001000000}" name="TABELE DODATKOWE - ZŁOTO do maks. 15 tabel" dataDxfId="22"/>
    <tableColumn id="2" xr3:uid="{00000000-0010-0000-0300-000002000000}" name="Cena za 1 szt." dataDxfId="2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pulpity_KP" displayName="pulpity_KP" ref="A91:B99" totalsRowShown="0" headerRowDxfId="20">
  <autoFilter ref="A91:B99" xr:uid="{00000000-0009-0000-0100-000005000000}"/>
  <tableColumns count="2">
    <tableColumn id="1" xr3:uid="{00000000-0010-0000-0400-000001000000}" name="enova365 Pulpit Pracownika"/>
    <tableColumn id="2" xr3:uid="{00000000-0010-0000-0400-000002000000}" name="Cena" dataDxfId="1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ulpity_HA" displayName="pulpity_HA" ref="A101:B107" totalsRowShown="0" headerRowDxfId="18">
  <autoFilter ref="A101:B107" xr:uid="{00000000-0009-0000-0100-000006000000}"/>
  <tableColumns count="2">
    <tableColumn id="1" xr3:uid="{00000000-0010-0000-0500-000001000000}" name="enova365 Pulpit Kontrahenta"/>
    <tableColumn id="2" xr3:uid="{00000000-0010-0000-0500-000002000000}" name="Cena" dataDxfId="1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ulpity_WF" displayName="pulpity_WF" ref="A109:B115" totalsRowShown="0" headerRowDxfId="16">
  <autoFilter ref="A109:B115" xr:uid="{00000000-0009-0000-0100-000007000000}"/>
  <tableColumns count="2">
    <tableColumn id="1" xr3:uid="{00000000-0010-0000-0600-000001000000}" name="enova365 Workflow w Pulpitach"/>
    <tableColumn id="2" xr3:uid="{00000000-0010-0000-0600-000002000000}" name="Cena" dataDxfId="1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ulpity_KBR" displayName="pulpity_KBR" ref="A117:D123" totalsRowShown="0" headerRowDxfId="14">
  <autoFilter ref="A117:D123" xr:uid="{00000000-0009-0000-0100-000008000000}"/>
  <tableColumns count="4">
    <tableColumn id="1" xr3:uid="{00000000-0010-0000-0700-000001000000}" name="enova365 Pulpit Klienta Biura Rachunkowego"/>
    <tableColumn id="2" xr3:uid="{00000000-0010-0000-0700-000002000000}" name="Podstawowy" dataDxfId="13"/>
    <tableColumn id="3" xr3:uid="{00000000-0010-0000-0700-000003000000}" name="Rozszerzony"/>
    <tableColumn id="4" xr3:uid="{00000000-0010-0000-0700-000004000000}" name="SaaS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pulpity_BI" displayName="pulpity_BI" ref="A125:B131" totalsRowShown="0">
  <autoFilter ref="A125:B131" xr:uid="{00000000-0009-0000-0100-000009000000}"/>
  <tableColumns count="2">
    <tableColumn id="1" xr3:uid="{00000000-0010-0000-0800-000001000000}" name="BI w Pulpitach"/>
    <tableColumn id="2" xr3:uid="{00000000-0010-0000-0800-000002000000}" name="cena " dataDxfId="1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k.enova365.pl/Sales/36820" TargetMode="External"/><Relationship Id="rId2" Type="http://schemas.openxmlformats.org/officeDocument/2006/relationships/hyperlink" Target="https://dok.enova365.pl/Partners/32774" TargetMode="External"/><Relationship Id="rId1" Type="http://schemas.openxmlformats.org/officeDocument/2006/relationships/hyperlink" Target="https://eszkolenia.enova365.pl/wp-admin/admin-ajax.php?action=frm_forms_preview&amp;form=i75ej2222234712124232462"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ok.enova365.pl/Sales/36820" TargetMode="External"/><Relationship Id="rId1" Type="http://schemas.openxmlformats.org/officeDocument/2006/relationships/hyperlink" Target="https://eszkolenia.enova365.pl/wp-admin/admin-ajax.php?action=frm_forms_preview&amp;form=i75ej2222234712124232462"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ok.enova365.pl/Sales/36820" TargetMode="External"/><Relationship Id="rId1" Type="http://schemas.openxmlformats.org/officeDocument/2006/relationships/hyperlink" Target="https://eszkolenia.enova365.pl/wp-admin/admin-ajax.php?action=frm_forms_preview&amp;form=i75ej2222234712124232462"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dok.enova365.pl/Sales/36820" TargetMode="External"/><Relationship Id="rId1" Type="http://schemas.openxmlformats.org/officeDocument/2006/relationships/hyperlink" Target="https://eszkolenia.enova365.pl/wp-admin/admin-ajax.php?action=frm_forms_preview&amp;form=i75ej2222234712124232462" TargetMode="External"/></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5"/>
  <sheetViews>
    <sheetView tabSelected="1" zoomScale="80" zoomScaleNormal="80" workbookViewId="0">
      <selection activeCell="C10" sqref="C10"/>
    </sheetView>
  </sheetViews>
  <sheetFormatPr defaultColWidth="9.109375" defaultRowHeight="15.6" x14ac:dyDescent="0.3"/>
  <cols>
    <col min="1" max="1" width="49.88671875" style="100" customWidth="1"/>
    <col min="2" max="2" width="25.33203125" style="100" customWidth="1"/>
    <col min="3" max="3" width="27.109375" style="100" customWidth="1"/>
    <col min="4" max="4" width="19.5546875" style="100" bestFit="1" customWidth="1"/>
    <col min="5" max="5" width="18.88671875" style="100" customWidth="1"/>
    <col min="6" max="6" width="11.6640625" style="100" customWidth="1"/>
    <col min="7" max="7" width="6.6640625" style="100" customWidth="1"/>
    <col min="8" max="8" width="73.6640625" style="109" customWidth="1"/>
    <col min="9" max="9" width="8.44140625" style="109" bestFit="1" customWidth="1"/>
    <col min="10" max="10" width="6.44140625" style="109" customWidth="1"/>
    <col min="11" max="11" width="13.109375" style="100" hidden="1" customWidth="1"/>
    <col min="12" max="14" width="6.44140625" style="100" hidden="1" customWidth="1"/>
    <col min="15" max="15" width="9.109375" style="100" customWidth="1"/>
    <col min="16" max="16384" width="9.109375" style="100"/>
  </cols>
  <sheetData>
    <row r="1" spans="1:15" ht="21" x14ac:dyDescent="0.3">
      <c r="A1" s="230" t="s">
        <v>185</v>
      </c>
      <c r="B1" s="231"/>
      <c r="C1" s="231"/>
      <c r="D1" s="231"/>
      <c r="E1" s="231"/>
    </row>
    <row r="2" spans="1:15" ht="93.75" customHeight="1" x14ac:dyDescent="0.3">
      <c r="A2" s="6" t="s">
        <v>7</v>
      </c>
      <c r="B2" s="7" t="s">
        <v>52</v>
      </c>
      <c r="C2" s="8" t="s">
        <v>77</v>
      </c>
      <c r="D2" s="9" t="s">
        <v>136</v>
      </c>
      <c r="E2" s="10" t="s">
        <v>9</v>
      </c>
      <c r="F2" s="87" t="s">
        <v>20</v>
      </c>
      <c r="H2" s="193" t="s">
        <v>138</v>
      </c>
      <c r="K2"/>
      <c r="L2"/>
      <c r="M2"/>
    </row>
    <row r="3" spans="1:15" x14ac:dyDescent="0.3">
      <c r="A3" s="227" t="s">
        <v>141</v>
      </c>
      <c r="B3" s="228"/>
      <c r="C3" s="229"/>
      <c r="D3" s="11"/>
      <c r="E3" s="12"/>
      <c r="F3" s="100">
        <f>IF(E31&gt;0,1,0)</f>
        <v>0</v>
      </c>
      <c r="H3" s="161"/>
      <c r="K3"/>
      <c r="L3"/>
      <c r="M3"/>
    </row>
    <row r="4" spans="1:15" x14ac:dyDescent="0.3">
      <c r="A4" s="159" t="s">
        <v>94</v>
      </c>
      <c r="B4" s="14" t="s">
        <v>3</v>
      </c>
      <c r="C4" s="182">
        <f>IF($B4="srebro",VLOOKUP($A4,moduly_podstawowe[],2,FALSE),IF($B4="złoto",VLOOKUP($A4,moduly_podstawowe[],3,FALSE),IF($B4= "platyna",VLOOKUP($A4,moduly_podstawowe[],4,FALSE))))</f>
        <v>252</v>
      </c>
      <c r="D4" s="16">
        <v>0</v>
      </c>
      <c r="E4" s="17">
        <f>C4*D4</f>
        <v>0</v>
      </c>
      <c r="F4" s="100">
        <f t="shared" ref="F4:F31" si="0">IF(E4&gt;0,1,0)</f>
        <v>0</v>
      </c>
      <c r="H4" s="161"/>
      <c r="I4" s="102"/>
      <c r="J4" s="102"/>
      <c r="K4"/>
      <c r="L4">
        <f t="shared" ref="L4:L30" si="1">IF(AND(OR(B4="złoto",B4="srebro"),D4&gt;0),1,0)</f>
        <v>0</v>
      </c>
      <c r="M4"/>
      <c r="N4" s="103"/>
      <c r="O4" s="103"/>
    </row>
    <row r="5" spans="1:15" ht="15.6" customHeight="1" x14ac:dyDescent="0.3">
      <c r="A5" s="160" t="s">
        <v>95</v>
      </c>
      <c r="B5" s="14" t="s">
        <v>1</v>
      </c>
      <c r="C5" s="182">
        <f>IF($B5="srebro",VLOOKUP($A5,moduly_podstawowe[],2,FALSE),IF($B5="złoto",VLOOKUP($A5,moduly_podstawowe[],3,FALSE),IF($B5= "platyna",VLOOKUP($A5,moduly_podstawowe[],4,FALSE))))</f>
        <v>40</v>
      </c>
      <c r="D5" s="16">
        <v>0</v>
      </c>
      <c r="E5" s="17">
        <f>C5*D5</f>
        <v>0</v>
      </c>
      <c r="F5" s="100">
        <f t="shared" si="0"/>
        <v>0</v>
      </c>
      <c r="H5" s="161"/>
      <c r="I5" s="161"/>
      <c r="J5" s="161"/>
      <c r="K5" s="161"/>
      <c r="L5">
        <f t="shared" si="1"/>
        <v>0</v>
      </c>
      <c r="M5"/>
      <c r="N5" s="103"/>
      <c r="O5" s="103"/>
    </row>
    <row r="6" spans="1:15" x14ac:dyDescent="0.3">
      <c r="A6" s="160" t="s">
        <v>96</v>
      </c>
      <c r="B6" s="14" t="s">
        <v>3</v>
      </c>
      <c r="C6" s="182">
        <f>IF($B6="srebro",VLOOKUP($A6,moduly_podstawowe[],2,FALSE),IF($B6="złoto",VLOOKUP($A6,moduly_podstawowe[],3,FALSE),IF($B6= "platyna",VLOOKUP($A6,moduly_podstawowe[],4,FALSE))))</f>
        <v>190</v>
      </c>
      <c r="D6" s="16">
        <v>0</v>
      </c>
      <c r="E6" s="17">
        <f>IF(AND((D5&gt;0),(D6&gt;0)),"usuń Ks. Podatkową",C6*D6)</f>
        <v>0</v>
      </c>
      <c r="F6" s="100">
        <f t="shared" si="0"/>
        <v>0</v>
      </c>
      <c r="H6" s="167" t="str">
        <f>IF(E6="usuń Ks. Podatkową","Ks. Podatkowej i Handlowej nie można łączyć w ramach jednej licencji"," ")</f>
        <v xml:space="preserve"> </v>
      </c>
      <c r="I6" s="161"/>
      <c r="J6" s="161"/>
      <c r="K6" s="161"/>
      <c r="L6">
        <f t="shared" si="1"/>
        <v>0</v>
      </c>
      <c r="M6"/>
      <c r="N6" s="103"/>
      <c r="O6" s="103"/>
    </row>
    <row r="7" spans="1:15" x14ac:dyDescent="0.3">
      <c r="A7" s="160" t="s">
        <v>97</v>
      </c>
      <c r="B7" s="14" t="s">
        <v>3</v>
      </c>
      <c r="C7" s="182">
        <f>IF($B7="srebro",VLOOKUP($A7,moduly_podstawowe[],2,FALSE),IF($B7="złoto",VLOOKUP($A7,moduly_podstawowe[],3,FALSE),IF($B7= "platyna",VLOOKUP($A7,moduly_podstawowe[],4,FALSE))))</f>
        <v>75</v>
      </c>
      <c r="D7" s="16">
        <v>0</v>
      </c>
      <c r="E7" s="17">
        <f>C7*D7</f>
        <v>0</v>
      </c>
      <c r="F7" s="100">
        <f t="shared" si="0"/>
        <v>0</v>
      </c>
      <c r="H7" s="167" t="str">
        <f>IF(B7="platyna"," ",IF(D7=0," ",IF(AND(D6&gt;0,B7&lt;&gt;B6),"Ks. Inwentarzowa musi mieć taki sam kolor jak Ks. Handlowa",IF(AND(D5&gt;0,D6=0,B5&lt;&gt;B7),"Ks. Inwentarzowa musi mieć taki sam kolor jak Ks. Podatkowa"," "))))</f>
        <v xml:space="preserve"> </v>
      </c>
      <c r="I7" s="161"/>
      <c r="J7" s="161"/>
      <c r="K7" s="161"/>
      <c r="L7">
        <f t="shared" si="1"/>
        <v>0</v>
      </c>
      <c r="M7"/>
      <c r="N7" s="103"/>
      <c r="O7" s="103"/>
    </row>
    <row r="8" spans="1:15" ht="31.2" x14ac:dyDescent="0.3">
      <c r="A8" s="126" t="s">
        <v>98</v>
      </c>
      <c r="B8" s="14" t="s">
        <v>3</v>
      </c>
      <c r="C8" s="182">
        <f>IF($B8="srebro",VLOOKUP($A8,moduly_podstawowe[],2,FALSE),IF($B8="złoto",VLOOKUP($A8,moduly_podstawowe[],3,FALSE),IF($B8= "platyna",VLOOKUP($A8,moduly_podstawowe[],4,FALSE))))</f>
        <v>30</v>
      </c>
      <c r="D8" s="16">
        <v>0</v>
      </c>
      <c r="E8" s="17">
        <f t="shared" ref="E8:E10" si="2">C8*D8</f>
        <v>0</v>
      </c>
      <c r="F8" s="100">
        <f t="shared" si="0"/>
        <v>0</v>
      </c>
      <c r="H8" s="167"/>
      <c r="I8" s="161"/>
      <c r="J8" s="161"/>
      <c r="K8" s="161"/>
      <c r="L8">
        <f t="shared" si="1"/>
        <v>0</v>
      </c>
      <c r="M8"/>
      <c r="N8" s="103"/>
      <c r="O8" s="103"/>
    </row>
    <row r="9" spans="1:15" x14ac:dyDescent="0.3">
      <c r="A9" s="126" t="s">
        <v>137</v>
      </c>
      <c r="B9" s="14" t="s">
        <v>3</v>
      </c>
      <c r="C9" s="182">
        <f>IF($B9="srebro",VLOOKUP($A9,moduly_podstawowe[],2,FALSE),IF($B9="złoto",VLOOKUP($A9,moduly_podstawowe[],3,FALSE),IF($B9= "platyna",VLOOKUP($A9,moduly_podstawowe[],4,FALSE))))</f>
        <v>68</v>
      </c>
      <c r="D9" s="16">
        <v>0</v>
      </c>
      <c r="E9" s="17">
        <f t="shared" si="2"/>
        <v>0</v>
      </c>
      <c r="F9" s="100">
        <f t="shared" si="0"/>
        <v>0</v>
      </c>
      <c r="H9" s="161"/>
      <c r="I9" s="161"/>
      <c r="J9" s="161"/>
      <c r="K9" s="161"/>
      <c r="L9">
        <f t="shared" si="1"/>
        <v>0</v>
      </c>
      <c r="M9"/>
      <c r="N9" s="103"/>
      <c r="O9" s="103"/>
    </row>
    <row r="10" spans="1:15" x14ac:dyDescent="0.3">
      <c r="A10" s="160" t="s">
        <v>99</v>
      </c>
      <c r="B10" s="14" t="s">
        <v>1</v>
      </c>
      <c r="C10" s="182">
        <f>IF($B10="srebro",VLOOKUP($A10,moduly_podstawowe[],2,FALSE),IF($B10="złoto",VLOOKUP($A10,moduly_podstawowe[],3,FALSE),IF($B10= "platyna",VLOOKUP($A10,moduly_podstawowe[],4,FALSE))))</f>
        <v>16</v>
      </c>
      <c r="D10" s="16">
        <v>0</v>
      </c>
      <c r="E10" s="17">
        <f t="shared" si="2"/>
        <v>0</v>
      </c>
      <c r="F10" s="100">
        <f t="shared" si="0"/>
        <v>0</v>
      </c>
      <c r="H10" s="161"/>
      <c r="I10" s="161"/>
      <c r="J10" s="161"/>
      <c r="K10" s="161"/>
      <c r="L10">
        <f t="shared" si="1"/>
        <v>0</v>
      </c>
      <c r="M10"/>
      <c r="N10" s="103"/>
      <c r="O10" s="103"/>
    </row>
    <row r="11" spans="1:15" ht="15.6" customHeight="1" x14ac:dyDescent="0.3">
      <c r="A11" s="160" t="s">
        <v>100</v>
      </c>
      <c r="B11" s="14" t="s">
        <v>3</v>
      </c>
      <c r="C11" s="182">
        <f>IF($B11="srebro",VLOOKUP($A11,moduly_podstawowe[],2,FALSE),IF($B11="złoto",VLOOKUP($A11,moduly_podstawowe[],3,FALSE),IF($B11= "platyna",VLOOKUP($A11,moduly_podstawowe[],4,FALSE))))</f>
        <v>113</v>
      </c>
      <c r="D11" s="16">
        <v>0</v>
      </c>
      <c r="E11" s="17">
        <f>IF(AND((D10&gt;0),(D11&gt;0)),"usuń Faktury",C11*D11)</f>
        <v>0</v>
      </c>
      <c r="F11" s="100">
        <f t="shared" si="0"/>
        <v>0</v>
      </c>
      <c r="H11" s="163" t="str">
        <f>IF(E11="usuń Faktury","Faktur i Handlu nie można łączyć w ramach jednej licencji"," ")</f>
        <v xml:space="preserve"> </v>
      </c>
      <c r="I11" s="162"/>
      <c r="J11" s="162"/>
      <c r="K11" s="161"/>
      <c r="L11">
        <f t="shared" si="1"/>
        <v>0</v>
      </c>
      <c r="M11"/>
      <c r="N11" s="103"/>
      <c r="O11" s="103"/>
    </row>
    <row r="12" spans="1:15" x14ac:dyDescent="0.3">
      <c r="A12" s="70" t="s">
        <v>101</v>
      </c>
      <c r="B12" s="14" t="s">
        <v>3</v>
      </c>
      <c r="C12" s="182">
        <f>IF($B12="srebro",VLOOKUP($A12,moduly_podstawowe[],2,FALSE),IF($B12="złoto",VLOOKUP($A12,moduly_podstawowe[],3,FALSE),IF($B12= "platyna",VLOOKUP($A12,moduly_podstawowe[],4,FALSE))))</f>
        <v>121</v>
      </c>
      <c r="D12" s="16">
        <v>0</v>
      </c>
      <c r="E12" s="17">
        <f>C12*D12</f>
        <v>0</v>
      </c>
      <c r="F12" s="100">
        <f t="shared" si="0"/>
        <v>0</v>
      </c>
      <c r="H12" s="161"/>
      <c r="I12" s="161"/>
      <c r="J12" s="161"/>
      <c r="K12" s="161"/>
      <c r="L12">
        <f t="shared" si="1"/>
        <v>0</v>
      </c>
      <c r="M12"/>
      <c r="N12" s="103"/>
      <c r="O12" s="103"/>
    </row>
    <row r="13" spans="1:15" x14ac:dyDescent="0.3">
      <c r="A13" s="70" t="s">
        <v>102</v>
      </c>
      <c r="B13" s="14" t="s">
        <v>3</v>
      </c>
      <c r="C13" s="182">
        <f>IF($B13="srebro",VLOOKUP($A13,moduly_podstawowe[],2,FALSE),IF($B13="złoto",VLOOKUP($A13,moduly_podstawowe[],3,FALSE),IF($B13= "platyna",VLOOKUP($A13,moduly_podstawowe[],4,FALSE))))</f>
        <v>193</v>
      </c>
      <c r="D13" s="16">
        <v>0</v>
      </c>
      <c r="E13" s="17">
        <f t="shared" ref="E13:E30" si="3">C13*D13</f>
        <v>0</v>
      </c>
      <c r="F13" s="100">
        <f t="shared" si="0"/>
        <v>0</v>
      </c>
      <c r="H13" s="161"/>
      <c r="I13" s="161"/>
      <c r="J13" s="161"/>
      <c r="K13" s="161"/>
      <c r="L13">
        <f t="shared" si="1"/>
        <v>0</v>
      </c>
      <c r="M13"/>
      <c r="N13" s="103"/>
      <c r="O13" s="103"/>
    </row>
    <row r="14" spans="1:15" x14ac:dyDescent="0.3">
      <c r="A14" s="160" t="s">
        <v>103</v>
      </c>
      <c r="B14" s="14" t="s">
        <v>3</v>
      </c>
      <c r="C14" s="182">
        <f>IF($B14="srebro",VLOOKUP($A14,moduly_podstawowe[],2,FALSE),IF($B14="złoto",VLOOKUP($A14,moduly_podstawowe[],3,FALSE),IF($B14= "platyna",VLOOKUP($A14,moduly_podstawowe[],4,FALSE))))</f>
        <v>70</v>
      </c>
      <c r="D14" s="16">
        <v>0</v>
      </c>
      <c r="E14" s="17">
        <f t="shared" si="3"/>
        <v>0</v>
      </c>
      <c r="F14" s="100">
        <f t="shared" si="0"/>
        <v>0</v>
      </c>
      <c r="H14" s="161" t="str">
        <f>IF(B14="srebro"," ", IF(E14+F14&gt;0,"zawiera pełną funcjonalność e-mail"," "))</f>
        <v xml:space="preserve"> </v>
      </c>
      <c r="I14" s="161"/>
      <c r="J14" s="161"/>
      <c r="K14" s="161"/>
      <c r="L14">
        <f t="shared" si="1"/>
        <v>0</v>
      </c>
      <c r="M14"/>
      <c r="N14" s="103"/>
      <c r="O14" s="103"/>
    </row>
    <row r="15" spans="1:15" ht="15.6" customHeight="1" x14ac:dyDescent="0.3">
      <c r="A15" s="160" t="s">
        <v>104</v>
      </c>
      <c r="B15" s="14" t="s">
        <v>3</v>
      </c>
      <c r="C15" s="182">
        <f>IF($B15="srebro",VLOOKUP($A15,moduly_podstawowe[],2,FALSE),IF($B15="złoto",VLOOKUP($A15,moduly_podstawowe[],3,FALSE),IF($B15= "platyna",VLOOKUP($A15,moduly_podstawowe[],4,FALSE))))</f>
        <v>53</v>
      </c>
      <c r="D15" s="16">
        <v>0</v>
      </c>
      <c r="E15" s="17">
        <f t="shared" si="3"/>
        <v>0</v>
      </c>
      <c r="F15" s="100">
        <f t="shared" si="0"/>
        <v>0</v>
      </c>
      <c r="H15" s="161"/>
      <c r="I15" s="161"/>
      <c r="J15" s="161"/>
      <c r="K15" s="161"/>
      <c r="L15">
        <f t="shared" si="1"/>
        <v>0</v>
      </c>
      <c r="M15"/>
      <c r="N15" s="103"/>
      <c r="O15" s="103"/>
    </row>
    <row r="16" spans="1:15" x14ac:dyDescent="0.3">
      <c r="A16" s="160" t="s">
        <v>105</v>
      </c>
      <c r="B16" s="14" t="s">
        <v>3</v>
      </c>
      <c r="C16" s="182">
        <f>IF($B16="srebro",VLOOKUP($A16,moduly_podstawowe[],2,FALSE),IF($B16="złoto",VLOOKUP($A16,moduly_podstawowe[],3,FALSE),IF($B16= "platyna",VLOOKUP($A16,moduly_podstawowe[],4,FALSE))))</f>
        <v>60</v>
      </c>
      <c r="D16" s="16">
        <v>0</v>
      </c>
      <c r="E16" s="17">
        <f t="shared" si="3"/>
        <v>0</v>
      </c>
      <c r="F16" s="100">
        <f t="shared" si="0"/>
        <v>0</v>
      </c>
      <c r="H16" s="161"/>
      <c r="I16" s="161"/>
      <c r="J16" s="161"/>
      <c r="K16" s="161"/>
      <c r="L16">
        <f t="shared" si="1"/>
        <v>0</v>
      </c>
      <c r="M16"/>
      <c r="N16" s="103"/>
      <c r="O16" s="103"/>
    </row>
    <row r="17" spans="1:15" x14ac:dyDescent="0.3">
      <c r="A17" s="160" t="s">
        <v>106</v>
      </c>
      <c r="B17" s="14" t="s">
        <v>3</v>
      </c>
      <c r="C17" s="182">
        <f>IF($B17="srebro",VLOOKUP($A17,moduly_podstawowe[],2,FALSE),IF($B17="złoto",VLOOKUP($A17,moduly_podstawowe[],3,FALSE),IF($B17= "platyna",VLOOKUP($A17,moduly_podstawowe[],4,FALSE))))</f>
        <v>53</v>
      </c>
      <c r="D17" s="16">
        <v>0</v>
      </c>
      <c r="E17" s="17">
        <f t="shared" si="3"/>
        <v>0</v>
      </c>
      <c r="F17" s="100">
        <f t="shared" si="0"/>
        <v>0</v>
      </c>
      <c r="H17" s="161"/>
      <c r="I17" s="161"/>
      <c r="J17" s="161"/>
      <c r="K17" s="161"/>
      <c r="L17">
        <f t="shared" si="1"/>
        <v>0</v>
      </c>
      <c r="M17"/>
      <c r="N17" s="103"/>
      <c r="O17" s="103"/>
    </row>
    <row r="18" spans="1:15" x14ac:dyDescent="0.3">
      <c r="A18" s="160" t="s">
        <v>107</v>
      </c>
      <c r="B18" s="14" t="s">
        <v>3</v>
      </c>
      <c r="C18" s="182">
        <f>IF($B18="srebro",VLOOKUP($A18,moduly_podstawowe[],2,FALSE),IF($B18="złoto",VLOOKUP($A18,moduly_podstawowe[],3,FALSE),IF($B18= "platyna",VLOOKUP($A18,moduly_podstawowe[],4,FALSE))))</f>
        <v>53</v>
      </c>
      <c r="D18" s="16">
        <v>0</v>
      </c>
      <c r="E18" s="17">
        <f t="shared" si="3"/>
        <v>0</v>
      </c>
      <c r="F18" s="100">
        <f t="shared" si="0"/>
        <v>0</v>
      </c>
      <c r="H18" s="161"/>
      <c r="I18" s="161"/>
      <c r="J18" s="161"/>
      <c r="K18" s="161"/>
      <c r="L18">
        <f t="shared" si="1"/>
        <v>0</v>
      </c>
      <c r="M18"/>
      <c r="N18" s="103"/>
      <c r="O18" s="103"/>
    </row>
    <row r="19" spans="1:15" x14ac:dyDescent="0.3">
      <c r="A19" s="160" t="s">
        <v>108</v>
      </c>
      <c r="B19" s="14" t="s">
        <v>3</v>
      </c>
      <c r="C19" s="182">
        <f>IF($B19="srebro",VLOOKUP($A19,moduly_podstawowe[],2,FALSE),IF($B19="złoto",VLOOKUP($A19,moduly_podstawowe[],3,FALSE),IF($B19= "platyna",VLOOKUP($A19,moduly_podstawowe[],4,FALSE))))</f>
        <v>129</v>
      </c>
      <c r="D19" s="16">
        <v>0</v>
      </c>
      <c r="E19" s="17">
        <f t="shared" si="3"/>
        <v>0</v>
      </c>
      <c r="F19" s="100">
        <f t="shared" si="0"/>
        <v>0</v>
      </c>
      <c r="H19" s="161" t="str">
        <f>IF(D19&gt;0,"zawiera pełną funcjonalność CRM oraz e-mail"," ")</f>
        <v xml:space="preserve"> </v>
      </c>
      <c r="I19" s="102"/>
      <c r="J19" s="102"/>
      <c r="K19"/>
      <c r="L19">
        <f t="shared" si="1"/>
        <v>0</v>
      </c>
      <c r="M19"/>
      <c r="N19" s="103"/>
      <c r="O19" s="103"/>
    </row>
    <row r="20" spans="1:15" x14ac:dyDescent="0.3">
      <c r="A20" s="160" t="s">
        <v>249</v>
      </c>
      <c r="B20" s="14" t="s">
        <v>3</v>
      </c>
      <c r="C20" s="182">
        <f>IF($B20="srebro",VLOOKUP($A20,moduly_podstawowe[],2,FALSE),IF($B20="złoto",VLOOKUP($A20,moduly_podstawowe[],3,FALSE),IF($B20= "platyna",VLOOKUP($A20,moduly_podstawowe[],4,FALSE))))</f>
        <v>255</v>
      </c>
      <c r="D20" s="16">
        <v>0</v>
      </c>
      <c r="E20" s="17">
        <f t="shared" si="3"/>
        <v>0</v>
      </c>
      <c r="F20" s="100">
        <f t="shared" si="0"/>
        <v>0</v>
      </c>
      <c r="H20" s="161"/>
      <c r="I20" s="102"/>
      <c r="J20" s="102"/>
      <c r="K20"/>
      <c r="L20">
        <f t="shared" si="1"/>
        <v>0</v>
      </c>
      <c r="M20"/>
      <c r="N20" s="103"/>
      <c r="O20" s="103"/>
    </row>
    <row r="21" spans="1:15" x14ac:dyDescent="0.3">
      <c r="A21" s="160" t="s">
        <v>251</v>
      </c>
      <c r="B21" s="14" t="s">
        <v>3</v>
      </c>
      <c r="C21" s="182">
        <f>IF($B21="srebro",VLOOKUP($A21,moduly_podstawowe[],2,FALSE),IF($B21="złoto",VLOOKUP($A21,moduly_podstawowe[],3,FALSE),IF($B21= "platyna",VLOOKUP($A21,moduly_podstawowe[],4,FALSE))))</f>
        <v>102</v>
      </c>
      <c r="D21" s="16">
        <v>0</v>
      </c>
      <c r="E21" s="17">
        <f t="shared" si="3"/>
        <v>0</v>
      </c>
      <c r="F21" s="100">
        <f t="shared" si="0"/>
        <v>0</v>
      </c>
      <c r="H21" s="161"/>
      <c r="I21" s="102"/>
      <c r="J21" s="102"/>
      <c r="K21"/>
      <c r="L21">
        <f t="shared" si="1"/>
        <v>0</v>
      </c>
      <c r="M21"/>
      <c r="N21" s="103"/>
      <c r="O21" s="103"/>
    </row>
    <row r="22" spans="1:15" x14ac:dyDescent="0.3">
      <c r="A22" s="70" t="s">
        <v>109</v>
      </c>
      <c r="B22" s="14" t="s">
        <v>3</v>
      </c>
      <c r="C22" s="182">
        <f>IF($B22="srebro",VLOOKUP($A22,moduly_podstawowe[],2,FALSE),IF($B22="złoto",VLOOKUP($A22,moduly_podstawowe[],3,FALSE),IF($B22= "platyna",VLOOKUP($A22,moduly_podstawowe[],4,FALSE))))</f>
        <v>19</v>
      </c>
      <c r="D22" s="16">
        <v>0</v>
      </c>
      <c r="E22" s="17">
        <f t="shared" si="3"/>
        <v>0</v>
      </c>
      <c r="F22" s="100">
        <f t="shared" si="0"/>
        <v>0</v>
      </c>
      <c r="H22" s="102"/>
      <c r="I22" s="102"/>
      <c r="J22" s="102"/>
      <c r="K22"/>
      <c r="L22">
        <f t="shared" si="1"/>
        <v>0</v>
      </c>
      <c r="M22"/>
      <c r="N22" s="103"/>
      <c r="O22" s="103"/>
    </row>
    <row r="23" spans="1:15" x14ac:dyDescent="0.3">
      <c r="A23" s="70" t="s">
        <v>110</v>
      </c>
      <c r="B23" s="14" t="s">
        <v>3</v>
      </c>
      <c r="C23" s="182">
        <f>IF($B23="srebro",VLOOKUP($A23,moduly_podstawowe[],2,FALSE),IF($B23="złoto",VLOOKUP($A23,moduly_podstawowe[],3,FALSE),IF($B23= "platyna",VLOOKUP($A23,moduly_podstawowe[],4,FALSE))))</f>
        <v>24</v>
      </c>
      <c r="D23" s="16">
        <v>0</v>
      </c>
      <c r="E23" s="17">
        <f t="shared" si="3"/>
        <v>0</v>
      </c>
      <c r="F23" s="100">
        <f t="shared" si="0"/>
        <v>0</v>
      </c>
      <c r="H23" s="102"/>
      <c r="I23" s="102"/>
      <c r="J23" s="102"/>
      <c r="K23"/>
      <c r="L23">
        <f t="shared" si="1"/>
        <v>0</v>
      </c>
      <c r="M23"/>
      <c r="N23" s="103"/>
      <c r="O23" s="103"/>
    </row>
    <row r="24" spans="1:15" x14ac:dyDescent="0.3">
      <c r="A24" s="70" t="s">
        <v>111</v>
      </c>
      <c r="B24" s="118"/>
      <c r="C24" s="182">
        <f>VLOOKUP(A24,moduly_podstawowe[],4,FALSE)</f>
        <v>155</v>
      </c>
      <c r="D24" s="118"/>
      <c r="E24" s="17">
        <f>IF(OR((AND(B22="platyna",D22&gt;0)),D23&gt;0),C24,0)</f>
        <v>0</v>
      </c>
      <c r="F24" s="100">
        <f t="shared" si="0"/>
        <v>0</v>
      </c>
      <c r="H24" s="102"/>
      <c r="I24" s="102"/>
      <c r="J24" s="102"/>
      <c r="K24"/>
      <c r="L24">
        <f t="shared" si="1"/>
        <v>0</v>
      </c>
      <c r="M24"/>
      <c r="N24" s="103"/>
      <c r="O24" s="103"/>
    </row>
    <row r="25" spans="1:15" x14ac:dyDescent="0.3">
      <c r="A25" s="70" t="s">
        <v>112</v>
      </c>
      <c r="B25" s="14" t="s">
        <v>3</v>
      </c>
      <c r="C25" s="182">
        <f>IF($B25="srebro",VLOOKUP($A25,moduly_podstawowe[],2,FALSE),IF($B25="złoto",VLOOKUP($A25,moduly_podstawowe[],3,FALSE),IF($B25= "platyna",VLOOKUP($A25,moduly_podstawowe[],4,FALSE))))</f>
        <v>53</v>
      </c>
      <c r="D25" s="16">
        <v>0</v>
      </c>
      <c r="E25" s="17">
        <f t="shared" si="3"/>
        <v>0</v>
      </c>
      <c r="F25" s="100">
        <f t="shared" si="0"/>
        <v>0</v>
      </c>
      <c r="H25" s="164"/>
      <c r="I25" s="102"/>
      <c r="J25" s="102"/>
      <c r="K25"/>
      <c r="L25">
        <f t="shared" si="1"/>
        <v>0</v>
      </c>
      <c r="M25"/>
      <c r="N25" s="103"/>
      <c r="O25" s="103"/>
    </row>
    <row r="26" spans="1:15" x14ac:dyDescent="0.3">
      <c r="A26" s="70" t="s">
        <v>113</v>
      </c>
      <c r="B26" s="14" t="s">
        <v>3</v>
      </c>
      <c r="C26" s="182">
        <f>IF($B26="srebro",VLOOKUP($A26,moduly_podstawowe[],2,FALSE),IF($B26="złoto",VLOOKUP($A26,moduly_podstawowe[],3,FALSE),IF($B26= "platyna",VLOOKUP($A26,moduly_podstawowe[],4,FALSE))))</f>
        <v>60</v>
      </c>
      <c r="D26" s="16">
        <v>0</v>
      </c>
      <c r="E26" s="17">
        <f t="shared" si="3"/>
        <v>0</v>
      </c>
      <c r="F26" s="100">
        <f t="shared" si="0"/>
        <v>0</v>
      </c>
      <c r="H26" s="102"/>
      <c r="I26" s="102"/>
      <c r="J26" s="102"/>
      <c r="K26"/>
      <c r="L26">
        <f t="shared" si="1"/>
        <v>0</v>
      </c>
      <c r="M26"/>
      <c r="N26" s="103"/>
      <c r="O26" s="103"/>
    </row>
    <row r="27" spans="1:15" x14ac:dyDescent="0.3">
      <c r="A27" s="160" t="s">
        <v>114</v>
      </c>
      <c r="B27" s="14" t="s">
        <v>3</v>
      </c>
      <c r="C27" s="182">
        <f>IF($B27="srebro",VLOOKUP($A27,moduly_podstawowe[],2,FALSE),IF($B27="złoto",VLOOKUP($A27,moduly_podstawowe[],3,FALSE),IF($B27= "platyna",VLOOKUP($A27,moduly_podstawowe[],4,FALSE))))</f>
        <v>38</v>
      </c>
      <c r="D27" s="16">
        <v>0</v>
      </c>
      <c r="E27" s="17">
        <f t="shared" si="3"/>
        <v>0</v>
      </c>
      <c r="F27" s="100">
        <f t="shared" si="0"/>
        <v>0</v>
      </c>
      <c r="H27" s="102"/>
      <c r="I27" s="102"/>
      <c r="J27" s="102"/>
      <c r="K27"/>
      <c r="L27">
        <f t="shared" si="1"/>
        <v>0</v>
      </c>
      <c r="M27"/>
      <c r="N27" s="103"/>
      <c r="O27" s="103"/>
    </row>
    <row r="28" spans="1:15" x14ac:dyDescent="0.3">
      <c r="A28" s="70" t="s">
        <v>115</v>
      </c>
      <c r="B28" s="14" t="s">
        <v>3</v>
      </c>
      <c r="C28" s="182">
        <f>IF($B28="srebro",VLOOKUP($A28,moduly_podstawowe[],2,FALSE),IF($B28="złoto",VLOOKUP($A28,moduly_podstawowe[],3,FALSE),IF($B28= "platyna",VLOOKUP($A28,moduly_podstawowe[],4,FALSE))))</f>
        <v>24</v>
      </c>
      <c r="D28" s="16">
        <v>0</v>
      </c>
      <c r="E28" s="17">
        <f t="shared" si="3"/>
        <v>0</v>
      </c>
      <c r="F28" s="100">
        <f t="shared" si="0"/>
        <v>0</v>
      </c>
      <c r="H28" s="102"/>
      <c r="I28" s="102"/>
      <c r="J28" s="102"/>
      <c r="K28"/>
      <c r="L28">
        <f t="shared" si="1"/>
        <v>0</v>
      </c>
      <c r="M28"/>
      <c r="N28" s="103"/>
      <c r="O28" s="103"/>
    </row>
    <row r="29" spans="1:15" x14ac:dyDescent="0.3">
      <c r="A29" s="217" t="s">
        <v>241</v>
      </c>
      <c r="B29" s="14" t="s">
        <v>3</v>
      </c>
      <c r="C29" s="182">
        <f>IF($B29="srebro",VLOOKUP($A29,moduly_podstawowe[],2,FALSE),IF($B29="złoto",VLOOKUP($A29,moduly_podstawowe[],3,FALSE),IF($B29= "platyna",VLOOKUP($A29,moduly_podstawowe[],4,FALSE))))</f>
        <v>50</v>
      </c>
      <c r="D29" s="16">
        <v>0</v>
      </c>
      <c r="E29" s="17">
        <f t="shared" si="3"/>
        <v>0</v>
      </c>
      <c r="F29" s="100">
        <f t="shared" si="0"/>
        <v>0</v>
      </c>
      <c r="H29" s="102"/>
      <c r="I29" s="102"/>
      <c r="J29" s="102"/>
      <c r="K29"/>
      <c r="L29">
        <f t="shared" si="1"/>
        <v>0</v>
      </c>
      <c r="M29"/>
      <c r="N29" s="103"/>
      <c r="O29" s="103"/>
    </row>
    <row r="30" spans="1:15" x14ac:dyDescent="0.3">
      <c r="A30" s="160" t="s">
        <v>242</v>
      </c>
      <c r="B30" s="14" t="s">
        <v>3</v>
      </c>
      <c r="C30" s="182">
        <f>IF($B30="srebro",VLOOKUP($A30,moduly_podstawowe[],2,FALSE),IF($B30="złoto",VLOOKUP($A30,moduly_podstawowe[],3,FALSE),IF($B30= "platyna",VLOOKUP($A30,moduly_podstawowe[],4,FALSE))))</f>
        <v>9</v>
      </c>
      <c r="D30" s="16">
        <v>0</v>
      </c>
      <c r="E30" s="17">
        <f t="shared" si="3"/>
        <v>0</v>
      </c>
      <c r="F30" s="100">
        <f>IF(E30&gt;0,1,0)</f>
        <v>0</v>
      </c>
      <c r="H30" s="102"/>
      <c r="I30" s="102"/>
      <c r="J30" s="102"/>
      <c r="K30"/>
      <c r="L30">
        <f t="shared" si="1"/>
        <v>0</v>
      </c>
      <c r="M30"/>
      <c r="N30" s="103"/>
      <c r="O30" s="103"/>
    </row>
    <row r="31" spans="1:15" x14ac:dyDescent="0.3">
      <c r="A31" s="104" t="s">
        <v>10</v>
      </c>
      <c r="B31" s="105"/>
      <c r="C31" s="106"/>
      <c r="D31" s="107"/>
      <c r="E31" s="20">
        <f>SUM(E4:E30)</f>
        <v>0</v>
      </c>
      <c r="F31" s="100">
        <f t="shared" si="0"/>
        <v>0</v>
      </c>
      <c r="L31" s="100">
        <f>SUM(L4:L30)</f>
        <v>0</v>
      </c>
      <c r="M31">
        <f>L31</f>
        <v>0</v>
      </c>
    </row>
    <row r="32" spans="1:15" x14ac:dyDescent="0.3">
      <c r="A32" s="237" t="s">
        <v>139</v>
      </c>
      <c r="B32" s="238"/>
      <c r="C32" s="28"/>
      <c r="D32" s="130"/>
      <c r="E32" s="127"/>
      <c r="F32" s="100">
        <f>F34</f>
        <v>0</v>
      </c>
    </row>
    <row r="33" spans="1:8" x14ac:dyDescent="0.3">
      <c r="A33" s="223" t="s">
        <v>250</v>
      </c>
      <c r="B33" s="224" t="str">
        <f>IF(SUM(D4:D30)=0," ",IF(AND(SUM(D4:D21,D25:D29)&gt;0,M31&gt;0),"złoto","platyna"))</f>
        <v xml:space="preserve"> </v>
      </c>
      <c r="C33" s="222" t="str">
        <f>IF(B33="złoto",VLOOKUP(SUM(D4:D21,D25:D29),BI[],2,TRUE),IF(B33="platyna",VLOOKUP(SUM(D4:D21,D25:D29),BI[],3,TRUE)," "))</f>
        <v xml:space="preserve"> </v>
      </c>
      <c r="D33" s="16" t="s">
        <v>4</v>
      </c>
      <c r="E33" s="225">
        <f>IF(D33="TAK",C33,0)</f>
        <v>0</v>
      </c>
      <c r="F33" s="100">
        <f>IF(E33&gt;0,1,0)</f>
        <v>0</v>
      </c>
    </row>
    <row r="34" spans="1:8" x14ac:dyDescent="0.3">
      <c r="A34" s="104" t="s">
        <v>81</v>
      </c>
      <c r="B34" s="129"/>
      <c r="C34" s="106"/>
      <c r="D34" s="107"/>
      <c r="E34" s="20">
        <f>E33</f>
        <v>0</v>
      </c>
      <c r="F34" s="100">
        <f t="shared" ref="F34" si="4">IF(E34&gt;0,1,0)</f>
        <v>0</v>
      </c>
    </row>
    <row r="35" spans="1:8" ht="48.6" customHeight="1" x14ac:dyDescent="0.3">
      <c r="A35" s="239" t="s">
        <v>140</v>
      </c>
      <c r="B35" s="240"/>
      <c r="C35" s="232"/>
      <c r="D35" s="233"/>
      <c r="E35" s="234"/>
      <c r="F35" s="100">
        <f>IF(SUM(F36:F60)&gt;0,1,0)</f>
        <v>0</v>
      </c>
    </row>
    <row r="36" spans="1:8" x14ac:dyDescent="0.3">
      <c r="A36" s="235" t="s">
        <v>86</v>
      </c>
      <c r="B36" s="236"/>
      <c r="C36" s="15">
        <f>VLOOKUP($A36,moduly_dodatkowe[],2,FALSE)</f>
        <v>171</v>
      </c>
      <c r="D36" s="16" t="s">
        <v>4</v>
      </c>
      <c r="E36" s="17">
        <f t="shared" ref="E36:E61" si="5">IF(SUM(D$4:D$30)=0,IF(D36="TAK",C36,0),IF(M$31=0,0,IF(D36="TAK",C36,0)))</f>
        <v>0</v>
      </c>
      <c r="F36" s="100">
        <f t="shared" ref="F36:F62" si="6">IF(D36="TAK",1,0)</f>
        <v>0</v>
      </c>
    </row>
    <row r="37" spans="1:8" x14ac:dyDescent="0.3">
      <c r="A37" s="235" t="s">
        <v>45</v>
      </c>
      <c r="B37" s="236"/>
      <c r="C37" s="15">
        <f>VLOOKUP($A37,moduly_dodatkowe[],2,FALSE)</f>
        <v>171</v>
      </c>
      <c r="D37" s="16" t="s">
        <v>4</v>
      </c>
      <c r="E37" s="17">
        <f t="shared" si="5"/>
        <v>0</v>
      </c>
      <c r="F37" s="100">
        <f t="shared" si="6"/>
        <v>0</v>
      </c>
    </row>
    <row r="38" spans="1:8" x14ac:dyDescent="0.3">
      <c r="A38" s="235" t="s">
        <v>87</v>
      </c>
      <c r="B38" s="236"/>
      <c r="C38" s="15">
        <f>VLOOKUP($A38,moduly_dodatkowe[],2,FALSE)</f>
        <v>518</v>
      </c>
      <c r="D38" s="16" t="s">
        <v>4</v>
      </c>
      <c r="E38" s="17">
        <f t="shared" si="5"/>
        <v>0</v>
      </c>
      <c r="F38" s="100">
        <f t="shared" si="6"/>
        <v>0</v>
      </c>
      <c r="H38" s="102"/>
    </row>
    <row r="39" spans="1:8" x14ac:dyDescent="0.3">
      <c r="A39" s="235" t="s">
        <v>88</v>
      </c>
      <c r="B39" s="236"/>
      <c r="C39" s="15">
        <f>VLOOKUP($A39,moduly_dodatkowe[],2,FALSE)</f>
        <v>48</v>
      </c>
      <c r="D39" s="16" t="s">
        <v>4</v>
      </c>
      <c r="E39" s="17">
        <f t="shared" si="5"/>
        <v>0</v>
      </c>
      <c r="F39" s="100">
        <f t="shared" si="6"/>
        <v>0</v>
      </c>
    </row>
    <row r="40" spans="1:8" x14ac:dyDescent="0.3">
      <c r="A40" s="235" t="s">
        <v>46</v>
      </c>
      <c r="B40" s="236"/>
      <c r="C40" s="15">
        <f>VLOOKUP($A40,moduly_dodatkowe[],2,FALSE)</f>
        <v>137</v>
      </c>
      <c r="D40" s="16" t="s">
        <v>4</v>
      </c>
      <c r="E40" s="17">
        <f t="shared" si="5"/>
        <v>0</v>
      </c>
      <c r="F40" s="100">
        <f t="shared" si="6"/>
        <v>0</v>
      </c>
    </row>
    <row r="41" spans="1:8" x14ac:dyDescent="0.3">
      <c r="A41" s="235" t="s">
        <v>89</v>
      </c>
      <c r="B41" s="236"/>
      <c r="C41" s="15">
        <f>VLOOKUP($A41,moduly_dodatkowe[],2,FALSE)</f>
        <v>137</v>
      </c>
      <c r="D41" s="16" t="s">
        <v>4</v>
      </c>
      <c r="E41" s="17">
        <f t="shared" si="5"/>
        <v>0</v>
      </c>
      <c r="F41" s="100">
        <f t="shared" si="6"/>
        <v>0</v>
      </c>
    </row>
    <row r="42" spans="1:8" x14ac:dyDescent="0.3">
      <c r="A42" s="235" t="s">
        <v>85</v>
      </c>
      <c r="B42" s="236"/>
      <c r="C42" s="15">
        <f>VLOOKUP($A42,moduly_dodatkowe[],2,FALSE)</f>
        <v>103</v>
      </c>
      <c r="D42" s="16" t="s">
        <v>4</v>
      </c>
      <c r="E42" s="17">
        <f t="shared" si="5"/>
        <v>0</v>
      </c>
      <c r="F42" s="100">
        <f t="shared" si="6"/>
        <v>0</v>
      </c>
    </row>
    <row r="43" spans="1:8" x14ac:dyDescent="0.3">
      <c r="A43" s="235" t="s">
        <v>215</v>
      </c>
      <c r="B43" s="236"/>
      <c r="C43" s="15">
        <f>VLOOKUP($A43,moduly_dodatkowe[],2,FALSE)</f>
        <v>296</v>
      </c>
      <c r="D43" s="16" t="s">
        <v>4</v>
      </c>
      <c r="E43" s="17">
        <f t="shared" si="5"/>
        <v>0</v>
      </c>
      <c r="F43" s="100">
        <f t="shared" si="6"/>
        <v>0</v>
      </c>
    </row>
    <row r="44" spans="1:8" x14ac:dyDescent="0.3">
      <c r="A44" s="235" t="s">
        <v>163</v>
      </c>
      <c r="B44" s="236"/>
      <c r="C44" s="15">
        <f>VLOOKUP($A44,moduly_dodatkowe[],2,FALSE)</f>
        <v>62</v>
      </c>
      <c r="D44" s="16" t="s">
        <v>4</v>
      </c>
      <c r="E44" s="17">
        <f t="shared" si="5"/>
        <v>0</v>
      </c>
      <c r="F44" s="100">
        <f t="shared" si="6"/>
        <v>0</v>
      </c>
    </row>
    <row r="45" spans="1:8" x14ac:dyDescent="0.3">
      <c r="A45" s="235" t="s">
        <v>247</v>
      </c>
      <c r="B45" s="249"/>
      <c r="C45" s="15">
        <f>VLOOKUP($A45,moduly_dodatkowe[],2,FALSE)</f>
        <v>165</v>
      </c>
      <c r="D45" s="16" t="s">
        <v>4</v>
      </c>
      <c r="E45" s="17">
        <f t="shared" si="5"/>
        <v>0</v>
      </c>
      <c r="F45" s="100">
        <f t="shared" si="6"/>
        <v>0</v>
      </c>
    </row>
    <row r="46" spans="1:8" x14ac:dyDescent="0.3">
      <c r="A46" s="235" t="s">
        <v>79</v>
      </c>
      <c r="B46" s="236"/>
      <c r="C46" s="15">
        <f>VLOOKUP($A46,moduly_dodatkowe[],2,FALSE)</f>
        <v>171</v>
      </c>
      <c r="D46" s="16" t="s">
        <v>4</v>
      </c>
      <c r="E46" s="17">
        <f t="shared" si="5"/>
        <v>0</v>
      </c>
      <c r="F46" s="100">
        <f t="shared" si="6"/>
        <v>0</v>
      </c>
      <c r="H46" s="192" t="str">
        <f>IF(D46="TAK","niedostępne w usłudze enova365 SaaS"," ")</f>
        <v xml:space="preserve"> </v>
      </c>
    </row>
    <row r="47" spans="1:8" x14ac:dyDescent="0.3">
      <c r="A47" s="235" t="s">
        <v>40</v>
      </c>
      <c r="B47" s="236"/>
      <c r="C47" s="15">
        <f>VLOOKUP($A47,moduly_dodatkowe[],2,FALSE)</f>
        <v>137</v>
      </c>
      <c r="D47" s="16" t="s">
        <v>4</v>
      </c>
      <c r="E47" s="17">
        <f t="shared" si="5"/>
        <v>0</v>
      </c>
      <c r="F47" s="100">
        <f t="shared" si="6"/>
        <v>0</v>
      </c>
    </row>
    <row r="48" spans="1:8" x14ac:dyDescent="0.3">
      <c r="A48" s="235" t="s">
        <v>41</v>
      </c>
      <c r="B48" s="236"/>
      <c r="C48" s="15">
        <f>VLOOKUP($A48,moduly_dodatkowe[],2,FALSE)</f>
        <v>151</v>
      </c>
      <c r="D48" s="16" t="s">
        <v>4</v>
      </c>
      <c r="E48" s="17">
        <f t="shared" si="5"/>
        <v>0</v>
      </c>
      <c r="F48" s="100">
        <f t="shared" si="6"/>
        <v>0</v>
      </c>
    </row>
    <row r="49" spans="1:8" x14ac:dyDescent="0.3">
      <c r="A49" s="235" t="s">
        <v>42</v>
      </c>
      <c r="B49" s="236"/>
      <c r="C49" s="15">
        <f>VLOOKUP($A49,moduly_dodatkowe[],2,FALSE)</f>
        <v>171</v>
      </c>
      <c r="D49" s="16" t="s">
        <v>4</v>
      </c>
      <c r="E49" s="17">
        <f t="shared" si="5"/>
        <v>0</v>
      </c>
      <c r="F49" s="100">
        <f t="shared" si="6"/>
        <v>0</v>
      </c>
    </row>
    <row r="50" spans="1:8" x14ac:dyDescent="0.3">
      <c r="A50" s="235" t="s">
        <v>43</v>
      </c>
      <c r="B50" s="236"/>
      <c r="C50" s="15">
        <f>VLOOKUP($A50,moduly_dodatkowe[],2,FALSE)</f>
        <v>103</v>
      </c>
      <c r="D50" s="16" t="s">
        <v>4</v>
      </c>
      <c r="E50" s="17">
        <f t="shared" si="5"/>
        <v>0</v>
      </c>
      <c r="F50" s="100">
        <f t="shared" si="6"/>
        <v>0</v>
      </c>
    </row>
    <row r="51" spans="1:8" x14ac:dyDescent="0.3">
      <c r="A51" s="235" t="s">
        <v>44</v>
      </c>
      <c r="B51" s="236"/>
      <c r="C51" s="15">
        <f>VLOOKUP($A51,moduly_dodatkowe[],2,FALSE)</f>
        <v>103</v>
      </c>
      <c r="D51" s="16" t="s">
        <v>4</v>
      </c>
      <c r="E51" s="17">
        <f t="shared" si="5"/>
        <v>0</v>
      </c>
      <c r="F51" s="100">
        <f t="shared" si="6"/>
        <v>0</v>
      </c>
    </row>
    <row r="52" spans="1:8" x14ac:dyDescent="0.3">
      <c r="A52" s="235" t="s">
        <v>51</v>
      </c>
      <c r="B52" s="236"/>
      <c r="C52" s="15">
        <f>VLOOKUP($A52,moduly_dodatkowe[],2,FALSE)</f>
        <v>50</v>
      </c>
      <c r="D52" s="16" t="s">
        <v>4</v>
      </c>
      <c r="E52" s="17">
        <f t="shared" si="5"/>
        <v>0</v>
      </c>
      <c r="F52" s="100">
        <f t="shared" si="6"/>
        <v>0</v>
      </c>
      <c r="H52" s="192" t="str">
        <f>IF(D52="TAK","niedostępne w usłudze enova365 SaaS"," ")</f>
        <v xml:space="preserve"> </v>
      </c>
    </row>
    <row r="53" spans="1:8" x14ac:dyDescent="0.3">
      <c r="A53" s="235" t="s">
        <v>90</v>
      </c>
      <c r="B53" s="236"/>
      <c r="C53" s="15">
        <f>VLOOKUP($A53,moduly_dodatkowe[],2,FALSE)</f>
        <v>13</v>
      </c>
      <c r="D53" s="16" t="s">
        <v>4</v>
      </c>
      <c r="E53" s="17">
        <f t="shared" si="5"/>
        <v>0</v>
      </c>
      <c r="F53" s="100">
        <f t="shared" si="6"/>
        <v>0</v>
      </c>
      <c r="H53" s="192" t="str">
        <f>IF(D53="TAK","niedostępne w usłudze enova365 SaaS"," ")</f>
        <v xml:space="preserve"> </v>
      </c>
    </row>
    <row r="54" spans="1:8" x14ac:dyDescent="0.3">
      <c r="A54" s="235" t="s">
        <v>50</v>
      </c>
      <c r="B54" s="236"/>
      <c r="C54" s="15">
        <f>VLOOKUP($A54,moduly_dodatkowe[],2,FALSE)</f>
        <v>137</v>
      </c>
      <c r="D54" s="16" t="s">
        <v>4</v>
      </c>
      <c r="E54" s="17">
        <f t="shared" si="5"/>
        <v>0</v>
      </c>
      <c r="F54" s="100">
        <f t="shared" si="6"/>
        <v>0</v>
      </c>
    </row>
    <row r="55" spans="1:8" x14ac:dyDescent="0.3">
      <c r="A55" s="235" t="s">
        <v>135</v>
      </c>
      <c r="B55" s="236"/>
      <c r="C55" s="15">
        <f>VLOOKUP($A55,moduly_dodatkowe[],2,FALSE)</f>
        <v>167</v>
      </c>
      <c r="D55" s="16" t="s">
        <v>4</v>
      </c>
      <c r="E55" s="17">
        <f t="shared" si="5"/>
        <v>0</v>
      </c>
      <c r="F55" s="100">
        <f t="shared" si="6"/>
        <v>0</v>
      </c>
    </row>
    <row r="56" spans="1:8" x14ac:dyDescent="0.3">
      <c r="A56" s="235" t="s">
        <v>83</v>
      </c>
      <c r="B56" s="236"/>
      <c r="C56" s="15">
        <f>VLOOKUP($A56,moduly_dodatkowe[],2,FALSE)</f>
        <v>344</v>
      </c>
      <c r="D56" s="16" t="s">
        <v>4</v>
      </c>
      <c r="E56" s="17">
        <f t="shared" si="5"/>
        <v>0</v>
      </c>
      <c r="F56" s="100">
        <f t="shared" si="6"/>
        <v>0</v>
      </c>
    </row>
    <row r="57" spans="1:8" x14ac:dyDescent="0.3">
      <c r="A57" s="235" t="s">
        <v>164</v>
      </c>
      <c r="B57" s="236"/>
      <c r="C57" s="15">
        <f>VLOOKUP($A57,moduly_dodatkowe[],2,FALSE)</f>
        <v>112</v>
      </c>
      <c r="D57" s="16" t="s">
        <v>4</v>
      </c>
      <c r="E57" s="17">
        <f t="shared" si="5"/>
        <v>0</v>
      </c>
      <c r="F57" s="100">
        <f t="shared" si="6"/>
        <v>0</v>
      </c>
    </row>
    <row r="58" spans="1:8" x14ac:dyDescent="0.3">
      <c r="A58" s="235" t="s">
        <v>48</v>
      </c>
      <c r="B58" s="236"/>
      <c r="C58" s="15">
        <f>VLOOKUP($A58,moduly_dodatkowe[],2,FALSE)</f>
        <v>62</v>
      </c>
      <c r="D58" s="16" t="s">
        <v>4</v>
      </c>
      <c r="E58" s="17">
        <f t="shared" si="5"/>
        <v>0</v>
      </c>
      <c r="F58" s="100">
        <f t="shared" si="6"/>
        <v>0</v>
      </c>
    </row>
    <row r="59" spans="1:8" x14ac:dyDescent="0.3">
      <c r="A59" s="235" t="s">
        <v>49</v>
      </c>
      <c r="B59" s="236"/>
      <c r="C59" s="15">
        <f>VLOOKUP($A59,moduly_dodatkowe[],2,FALSE)</f>
        <v>62</v>
      </c>
      <c r="D59" s="16" t="s">
        <v>4</v>
      </c>
      <c r="E59" s="17">
        <f t="shared" si="5"/>
        <v>0</v>
      </c>
      <c r="F59" s="100">
        <f t="shared" si="6"/>
        <v>0</v>
      </c>
      <c r="H59" s="192" t="str">
        <f>IF(D59="TAK","niedostępne w usłudze enova365 SaaS"," ")</f>
        <v xml:space="preserve"> </v>
      </c>
    </row>
    <row r="60" spans="1:8" x14ac:dyDescent="0.3">
      <c r="A60" s="235" t="s">
        <v>63</v>
      </c>
      <c r="B60" s="236"/>
      <c r="C60" s="15">
        <f>VLOOKUP($A60,moduly_dodatkowe[],2,FALSE)</f>
        <v>137</v>
      </c>
      <c r="D60" s="16" t="s">
        <v>4</v>
      </c>
      <c r="E60" s="17">
        <f t="shared" si="5"/>
        <v>0</v>
      </c>
      <c r="F60" s="100">
        <f t="shared" si="6"/>
        <v>0</v>
      </c>
    </row>
    <row r="61" spans="1:8" x14ac:dyDescent="0.3">
      <c r="A61" s="235" t="s">
        <v>245</v>
      </c>
      <c r="B61" s="249"/>
      <c r="C61" s="15">
        <f>VLOOKUP($A61,moduly_dodatkowe[],2,FALSE)</f>
        <v>126</v>
      </c>
      <c r="D61" s="16" t="s">
        <v>4</v>
      </c>
      <c r="E61" s="17">
        <f t="shared" si="5"/>
        <v>0</v>
      </c>
      <c r="F61" s="100">
        <f t="shared" si="6"/>
        <v>0</v>
      </c>
    </row>
    <row r="62" spans="1:8" x14ac:dyDescent="0.3">
      <c r="A62" s="235" t="s">
        <v>246</v>
      </c>
      <c r="B62" s="249"/>
      <c r="C62" s="15">
        <f>VLOOKUP($A62,moduly_dodatkowe[],2,FALSE)</f>
        <v>747</v>
      </c>
      <c r="D62" s="16" t="s">
        <v>4</v>
      </c>
      <c r="E62" s="17">
        <f>IF(D62="TAK",C62,0)</f>
        <v>0</v>
      </c>
      <c r="F62" s="100">
        <f t="shared" si="6"/>
        <v>0</v>
      </c>
      <c r="H62" s="192" t="str">
        <f>IF(D62="TAK","dodatek płatny dla wszystkich wersji kolorystycznych enova365"," ")</f>
        <v xml:space="preserve"> </v>
      </c>
    </row>
    <row r="63" spans="1:8" x14ac:dyDescent="0.3">
      <c r="A63" s="24" t="s">
        <v>11</v>
      </c>
      <c r="B63" s="25"/>
      <c r="C63" s="26"/>
      <c r="D63" s="27"/>
      <c r="E63" s="20">
        <f>SUM(E36:E62)</f>
        <v>0</v>
      </c>
      <c r="F63" s="100">
        <f>F35</f>
        <v>0</v>
      </c>
      <c r="G63" s="100" t="s">
        <v>24</v>
      </c>
    </row>
    <row r="64" spans="1:8" x14ac:dyDescent="0.3">
      <c r="A64" s="244" t="s">
        <v>30</v>
      </c>
      <c r="B64" s="240"/>
      <c r="C64" s="28"/>
      <c r="D64" s="21"/>
      <c r="E64" s="22"/>
      <c r="F64" s="100">
        <f>IF(E68&gt;0,1,0)</f>
        <v>0</v>
      </c>
    </row>
    <row r="65" spans="1:8" x14ac:dyDescent="0.3">
      <c r="A65" s="29"/>
      <c r="B65" s="30"/>
      <c r="C65" s="19" t="s">
        <v>21</v>
      </c>
      <c r="D65" s="31" t="s">
        <v>19</v>
      </c>
      <c r="E65" s="17"/>
      <c r="F65" s="100">
        <f>IF(E68&gt;0,1,0)</f>
        <v>0</v>
      </c>
    </row>
    <row r="66" spans="1:8" x14ac:dyDescent="0.3">
      <c r="A66" s="32" t="s">
        <v>17</v>
      </c>
      <c r="B66" s="16" t="s">
        <v>4</v>
      </c>
      <c r="C66" s="15">
        <f>VLOOKUP($A66,tabele[],2,FALSE)</f>
        <v>25</v>
      </c>
      <c r="D66" s="16">
        <v>1</v>
      </c>
      <c r="E66" s="17">
        <f>IF(SUM(D$4:D$30)=0,IF(B66="TAK",C66*D66,0),IF(M$31=0,0,IF(B66="TAK",C66*D66,0)))</f>
        <v>0</v>
      </c>
      <c r="F66" s="100">
        <f>IF(E66&gt;0,1,0)</f>
        <v>0</v>
      </c>
    </row>
    <row r="67" spans="1:8" x14ac:dyDescent="0.3">
      <c r="A67" s="32" t="s">
        <v>18</v>
      </c>
      <c r="B67" s="16" t="s">
        <v>4</v>
      </c>
      <c r="C67" s="15">
        <f>VLOOKUP($A67,tabele[],2,FALSE)</f>
        <v>50</v>
      </c>
      <c r="D67" s="16">
        <v>1</v>
      </c>
      <c r="E67" s="17">
        <f>IF(AND(B67="TAK",B66="TAK"),(IF(D66&lt;5,"1..5 musi być 5",IF(SUM(D$4:D$30)=0,IF(B67="TAK",C67*D67,0),IF(M$31=0,0,IF(B67="TAK",C67*D67,0))))),0)</f>
        <v>0</v>
      </c>
      <c r="F67" s="100">
        <f>IF(E67&gt;0,1,0)</f>
        <v>0</v>
      </c>
    </row>
    <row r="68" spans="1:8" x14ac:dyDescent="0.3">
      <c r="A68" s="24" t="s">
        <v>12</v>
      </c>
      <c r="B68" s="33"/>
      <c r="C68" s="34"/>
      <c r="D68" s="33"/>
      <c r="E68" s="35">
        <f>SUM(E66:E67)</f>
        <v>0</v>
      </c>
      <c r="F68" s="100">
        <f>IF(E68&gt;0,1,0)</f>
        <v>0</v>
      </c>
    </row>
    <row r="69" spans="1:8" x14ac:dyDescent="0.3">
      <c r="A69" s="244" t="s">
        <v>142</v>
      </c>
      <c r="B69" s="240"/>
      <c r="C69" s="28"/>
      <c r="D69" s="56" t="s">
        <v>143</v>
      </c>
      <c r="E69" s="22"/>
      <c r="F69" s="100">
        <f>IF(E77&gt;0,1,0)</f>
        <v>0</v>
      </c>
      <c r="H69" s="110"/>
    </row>
    <row r="70" spans="1:8" x14ac:dyDescent="0.3">
      <c r="A70" s="32" t="s">
        <v>53</v>
      </c>
      <c r="B70" s="23" t="s">
        <v>4</v>
      </c>
      <c r="C70" s="15">
        <f>VLOOKUP(D70,pulpity_KP[],2,FALSE)</f>
        <v>206</v>
      </c>
      <c r="D70" s="16" t="s">
        <v>151</v>
      </c>
      <c r="E70" s="17">
        <f>IF(B70="TAK",C70,0)</f>
        <v>0</v>
      </c>
      <c r="F70" s="100">
        <f t="shared" ref="F70:F86" si="7">IF(E70&gt;0,1,0)</f>
        <v>0</v>
      </c>
      <c r="H70" s="110"/>
    </row>
    <row r="71" spans="1:8" x14ac:dyDescent="0.3">
      <c r="A71" s="32" t="s">
        <v>25</v>
      </c>
      <c r="B71" s="23" t="s">
        <v>4</v>
      </c>
      <c r="C71" s="15">
        <f>VLOOKUP(A71,pulpity_KP[],2,FALSE)</f>
        <v>14</v>
      </c>
      <c r="D71" s="111">
        <v>1</v>
      </c>
      <c r="E71" s="17">
        <f>IF(B71="TAK",C71*D71,0)</f>
        <v>0</v>
      </c>
      <c r="F71" s="100">
        <f t="shared" si="7"/>
        <v>0</v>
      </c>
    </row>
    <row r="72" spans="1:8" x14ac:dyDescent="0.3">
      <c r="A72" s="32" t="s">
        <v>84</v>
      </c>
      <c r="B72" s="23" t="s">
        <v>4</v>
      </c>
      <c r="C72" s="15">
        <f>VLOOKUP(A72,pulpity_KP[],2,FALSE)</f>
        <v>342</v>
      </c>
      <c r="D72" s="15"/>
      <c r="E72" s="17">
        <f>IF(B72="TAK",C72,0)</f>
        <v>0</v>
      </c>
      <c r="F72" s="100">
        <f>IF(E72&gt;0,1,0)</f>
        <v>0</v>
      </c>
      <c r="H72" s="152"/>
    </row>
    <row r="73" spans="1:8" x14ac:dyDescent="0.3">
      <c r="A73" s="32" t="s">
        <v>64</v>
      </c>
      <c r="B73" s="23" t="s">
        <v>4</v>
      </c>
      <c r="C73" s="15">
        <f>VLOOKUP(D73,pulpity_HA[],2,FALSE)</f>
        <v>164</v>
      </c>
      <c r="D73" s="16" t="s">
        <v>151</v>
      </c>
      <c r="E73" s="17">
        <f>IF(B73="TAK",C73,0)</f>
        <v>0</v>
      </c>
      <c r="F73" s="100">
        <f t="shared" si="7"/>
        <v>0</v>
      </c>
    </row>
    <row r="74" spans="1:8" x14ac:dyDescent="0.3">
      <c r="A74" s="32" t="s">
        <v>65</v>
      </c>
      <c r="B74" s="23" t="s">
        <v>4</v>
      </c>
      <c r="C74" s="15">
        <f>VLOOKUP(D74,pulpity_WF[],2,FALSE)</f>
        <v>103</v>
      </c>
      <c r="D74" s="16" t="s">
        <v>151</v>
      </c>
      <c r="E74" s="17">
        <f>IF(B74="TAK",C74,0)</f>
        <v>0</v>
      </c>
      <c r="F74" s="100">
        <f t="shared" si="7"/>
        <v>0</v>
      </c>
    </row>
    <row r="75" spans="1:8" x14ac:dyDescent="0.3">
      <c r="A75" s="32" t="s">
        <v>192</v>
      </c>
      <c r="B75" s="23" t="s">
        <v>4</v>
      </c>
      <c r="C75" s="15">
        <f>VLOOKUP(D75,pulpity_BI[],2,FALSE)</f>
        <v>59</v>
      </c>
      <c r="D75" s="16" t="s">
        <v>151</v>
      </c>
      <c r="E75" s="17">
        <f>IF(B75="TAK",C75,0)</f>
        <v>0</v>
      </c>
      <c r="F75" s="100">
        <f t="shared" si="7"/>
        <v>0</v>
      </c>
      <c r="H75" s="195" t="str">
        <f>IF(B75="TAK","ceny promocyjne do 30.06.2021"," ")</f>
        <v xml:space="preserve"> </v>
      </c>
    </row>
    <row r="76" spans="1:8" x14ac:dyDescent="0.3">
      <c r="A76" s="32" t="s">
        <v>244</v>
      </c>
      <c r="B76" s="23" t="s">
        <v>4</v>
      </c>
      <c r="C76" s="15">
        <f>VLOOKUP(D76,enova365_Praca_Hybrydowa_w_Pulpitach,2,FALSE)</f>
        <v>98</v>
      </c>
      <c r="D76" s="16" t="s">
        <v>151</v>
      </c>
      <c r="E76" s="17">
        <f>IF(B76="TAK",C76,0)</f>
        <v>0</v>
      </c>
      <c r="F76" s="100">
        <f t="shared" si="7"/>
        <v>0</v>
      </c>
      <c r="H76" s="195"/>
    </row>
    <row r="77" spans="1:8" x14ac:dyDescent="0.3">
      <c r="A77" s="36" t="s">
        <v>32</v>
      </c>
      <c r="B77" s="33"/>
      <c r="C77" s="34"/>
      <c r="D77" s="33"/>
      <c r="E77" s="35">
        <f>SUM(E70:E76)</f>
        <v>0</v>
      </c>
      <c r="F77" s="100">
        <f t="shared" si="7"/>
        <v>0</v>
      </c>
    </row>
    <row r="78" spans="1:8" x14ac:dyDescent="0.3">
      <c r="A78" s="37" t="s">
        <v>61</v>
      </c>
      <c r="B78" s="38"/>
      <c r="C78" s="38"/>
      <c r="D78" s="38"/>
      <c r="E78" s="39">
        <f>E31+E34+E63+E68+E77</f>
        <v>0</v>
      </c>
      <c r="F78" s="100">
        <f t="shared" si="7"/>
        <v>0</v>
      </c>
      <c r="H78" s="153"/>
    </row>
    <row r="79" spans="1:8" x14ac:dyDescent="0.3">
      <c r="A79" s="40"/>
      <c r="B79" s="16" t="s">
        <v>13</v>
      </c>
      <c r="C79" s="181">
        <v>0</v>
      </c>
      <c r="D79" s="16" t="s">
        <v>4</v>
      </c>
      <c r="E79" s="95">
        <f>IF(D79="TAK",(E78*C79),0)</f>
        <v>0</v>
      </c>
      <c r="F79" s="100">
        <f t="shared" si="7"/>
        <v>0</v>
      </c>
    </row>
    <row r="80" spans="1:8" x14ac:dyDescent="0.3">
      <c r="A80" s="41"/>
      <c r="B80" s="148" t="s">
        <v>14</v>
      </c>
      <c r="C80" s="149"/>
      <c r="D80" s="148"/>
      <c r="E80" s="150">
        <f>E79</f>
        <v>0</v>
      </c>
      <c r="F80" s="100">
        <f t="shared" si="7"/>
        <v>0</v>
      </c>
      <c r="H80" s="153"/>
    </row>
    <row r="81" spans="1:8" x14ac:dyDescent="0.3">
      <c r="A81" s="244" t="s">
        <v>235</v>
      </c>
      <c r="B81" s="240"/>
      <c r="C81" s="28"/>
      <c r="D81" s="108" t="s">
        <v>29</v>
      </c>
      <c r="E81" s="22"/>
      <c r="F81" s="100">
        <f t="shared" si="7"/>
        <v>0</v>
      </c>
      <c r="H81" s="153"/>
    </row>
    <row r="82" spans="1:8" ht="19.2" customHeight="1" x14ac:dyDescent="0.3">
      <c r="A82" s="32" t="s">
        <v>125</v>
      </c>
      <c r="B82" s="246" t="s">
        <v>234</v>
      </c>
      <c r="C82" s="247"/>
      <c r="D82" s="247"/>
      <c r="E82" s="248"/>
      <c r="F82" s="100">
        <f t="shared" si="7"/>
        <v>0</v>
      </c>
      <c r="H82" s="166"/>
    </row>
    <row r="83" spans="1:8" ht="43.95" customHeight="1" x14ac:dyDescent="0.3">
      <c r="A83" s="32" t="s">
        <v>126</v>
      </c>
      <c r="B83" s="146" t="s">
        <v>4</v>
      </c>
      <c r="C83" s="15">
        <f>IF(D83="5 000 stron rocznie",'Cennik enova365'!B156,IF(D83="10 000 stron rocznie",'Cennik enova365'!B157,IF(D83="15 000 stron rocznie",'Cennik enova365'!B158,IF(D83="20 000 stron rocznie",'Cennik enova365'!B159,IF(D83="25 000 stron rocznie",'Cennik enova365'!B160,IF(D83="30 000 stron rocznie",'Cennik enova365'!B161,IF(D83="35 000 stron rocznie",'Cennik enova365'!B162,IF(D83="40 000 stron rocznie",'Cennik enova365'!B163,IF(D83="45 000 stron rocznie",'Cennik enova365'!B164,IF(D83="50 000 stron rocznie",'Cennik enova365'!B165,IF(D83="55 000 stron rocznie",'Cennik enova365'!B166,IF(D83="60 000 stron rocznie",'Cennik enova365'!B167,IF(D83="powyżej 60 000 stron rocznie",'Cennik enova365'!B168)))))))))))))</f>
        <v>934</v>
      </c>
      <c r="D83" s="111" t="s">
        <v>129</v>
      </c>
      <c r="E83" s="151">
        <f>IF(B83="TAK",C83,0)</f>
        <v>0</v>
      </c>
      <c r="F83" s="100">
        <f t="shared" si="7"/>
        <v>0</v>
      </c>
      <c r="H83" s="166" t="s">
        <v>237</v>
      </c>
    </row>
    <row r="84" spans="1:8" x14ac:dyDescent="0.3">
      <c r="A84" s="36" t="s">
        <v>128</v>
      </c>
      <c r="B84" s="33"/>
      <c r="C84" s="34"/>
      <c r="D84" s="33"/>
      <c r="E84" s="35">
        <f>SUM(E82:E83)</f>
        <v>0</v>
      </c>
      <c r="F84" s="100">
        <f t="shared" si="7"/>
        <v>0</v>
      </c>
    </row>
    <row r="85" spans="1:8" x14ac:dyDescent="0.3">
      <c r="A85" s="63" t="s">
        <v>91</v>
      </c>
      <c r="B85" s="112"/>
      <c r="C85" s="112"/>
      <c r="D85" s="112"/>
      <c r="E85" s="113">
        <f>(E78-E80)+E84</f>
        <v>0</v>
      </c>
      <c r="F85" s="100">
        <f t="shared" si="7"/>
        <v>0</v>
      </c>
    </row>
    <row r="86" spans="1:8" customFormat="1" x14ac:dyDescent="0.3">
      <c r="A86" s="64" t="s">
        <v>92</v>
      </c>
      <c r="B86" s="65"/>
      <c r="C86" s="65"/>
      <c r="D86" s="65"/>
      <c r="E86" s="66">
        <f>E85*1.23</f>
        <v>0</v>
      </c>
      <c r="F86" s="100">
        <f t="shared" si="7"/>
        <v>0</v>
      </c>
    </row>
    <row r="87" spans="1:8" customFormat="1" x14ac:dyDescent="0.3">
      <c r="A87" s="137" t="s">
        <v>74</v>
      </c>
      <c r="B87" s="137"/>
      <c r="C87" s="13"/>
      <c r="D87" s="13"/>
      <c r="E87" s="13"/>
      <c r="F87" s="100">
        <v>1</v>
      </c>
    </row>
    <row r="88" spans="1:8" customFormat="1" x14ac:dyDescent="0.3">
      <c r="A88" s="13" t="s">
        <v>75</v>
      </c>
      <c r="B88" s="13"/>
      <c r="C88" s="13"/>
      <c r="D88" s="13"/>
      <c r="E88" s="13"/>
      <c r="F88" s="100">
        <v>1</v>
      </c>
    </row>
    <row r="89" spans="1:8" customFormat="1" x14ac:dyDescent="0.3">
      <c r="A89" s="13" t="s">
        <v>134</v>
      </c>
      <c r="B89" s="13"/>
      <c r="C89" s="13"/>
      <c r="E89" s="119"/>
      <c r="F89" s="100">
        <v>1</v>
      </c>
    </row>
    <row r="90" spans="1:8" customFormat="1" x14ac:dyDescent="0.3">
      <c r="A90" s="13"/>
      <c r="B90" s="13"/>
      <c r="C90" s="13"/>
      <c r="E90" s="119"/>
      <c r="F90" s="100"/>
    </row>
    <row r="91" spans="1:8" customFormat="1" x14ac:dyDescent="0.3">
      <c r="A91" s="13"/>
      <c r="B91" s="13"/>
      <c r="C91" s="13"/>
      <c r="E91" s="119"/>
      <c r="F91" s="100"/>
    </row>
    <row r="92" spans="1:8" customFormat="1" ht="21" x14ac:dyDescent="0.3">
      <c r="A92" s="230" t="s">
        <v>194</v>
      </c>
      <c r="B92" s="231"/>
      <c r="C92" s="231"/>
      <c r="D92" s="231"/>
      <c r="E92" s="231"/>
      <c r="F92" s="100"/>
    </row>
    <row r="93" spans="1:8" customFormat="1" ht="31.2" x14ac:dyDescent="0.3">
      <c r="A93" s="186" t="s">
        <v>195</v>
      </c>
      <c r="B93" s="187">
        <v>0</v>
      </c>
      <c r="C93" s="187" t="str">
        <f>IF(AND(B93&gt;20,B94&gt;0),'Cennik enova365'!$M$7,(IF(AND(B93&gt;10,B94&gt;50),'Cennik enova365'!$M$7,(IF(B94&gt;100,'Cennik enova365'!$M$7,IF(B94&gt;0,"TYP 3",VLOOKUP(B93,'Cennik enova365'!L:M,2,TRUE)))))))</f>
        <v>-</v>
      </c>
      <c r="D93" s="190">
        <f>IFERROR((HLOOKUP(C93,SaaS[[#All],[TYP 1]:[typ 3]],2,FALSE)),0)</f>
        <v>0</v>
      </c>
      <c r="E93" s="17">
        <f>D93*B93</f>
        <v>0</v>
      </c>
      <c r="F93" s="100">
        <f>IF(E93&gt;0,1,0)</f>
        <v>0</v>
      </c>
    </row>
    <row r="94" spans="1:8" customFormat="1" ht="31.2" x14ac:dyDescent="0.3">
      <c r="A94" s="186" t="s">
        <v>196</v>
      </c>
      <c r="B94" s="188">
        <v>0</v>
      </c>
      <c r="C94" s="187" t="str">
        <f>IF(B93&gt;20,'Cennik enova365'!$M$7,IF(B93&gt;9,VLOOKUP(B94,'Cennik enova365'!S:T,2,TRUE),VLOOKUP(B94,'Cennik enova365'!P:Q,2,TRUE)))</f>
        <v>-</v>
      </c>
      <c r="D94" s="190"/>
      <c r="E94" s="151">
        <f>IF(C94="dla tego Klienta IaaS",0,IFERROR((((MROUND(((B94-B93)+1),5)/5)*'Cennik enova365'!D150)),0))</f>
        <v>0</v>
      </c>
      <c r="F94" s="100">
        <f t="shared" ref="F94:F95" si="8">IF(E94&gt;0,1,0)</f>
        <v>0</v>
      </c>
      <c r="H94" s="166" t="str">
        <f>VLOOKUP(B93,'Cennik enova365'!W:X,2,TRUE)</f>
        <v xml:space="preserve"> </v>
      </c>
    </row>
    <row r="95" spans="1:8" customFormat="1" ht="47.4" customHeight="1" x14ac:dyDescent="0.35">
      <c r="A95" s="36" t="s">
        <v>216</v>
      </c>
      <c r="B95" s="33"/>
      <c r="C95" s="34"/>
      <c r="D95" s="33"/>
      <c r="E95" s="35">
        <f>SUM(E93:E94)</f>
        <v>0</v>
      </c>
      <c r="F95" s="100">
        <f t="shared" si="8"/>
        <v>0</v>
      </c>
      <c r="G95" s="202">
        <f>IFERROR(E94/D93+B93,0)</f>
        <v>0</v>
      </c>
      <c r="H95" s="203" t="str">
        <f>IF(G95&gt;0,"na fakturze będzie tyle sztuk pozycji towarowej
pakiet enova365 dostęp dla użytkownika do bazy typ ... (tyle będzie także w pliku licencyjnym)"," ")</f>
        <v xml:space="preserve"> </v>
      </c>
    </row>
    <row r="96" spans="1:8" customFormat="1" x14ac:dyDescent="0.3">
      <c r="A96" s="13"/>
      <c r="B96" s="13"/>
      <c r="C96" s="13"/>
      <c r="E96" s="119"/>
      <c r="F96" s="100"/>
    </row>
    <row r="97" spans="1:6" customFormat="1" x14ac:dyDescent="0.3">
      <c r="A97" s="194" t="s">
        <v>203</v>
      </c>
      <c r="B97" s="13"/>
      <c r="C97" s="13"/>
      <c r="E97" s="119"/>
      <c r="F97" s="100">
        <v>1</v>
      </c>
    </row>
    <row r="98" spans="1:6" customFormat="1" x14ac:dyDescent="0.3">
      <c r="A98" s="194" t="s">
        <v>208</v>
      </c>
      <c r="B98" s="13"/>
      <c r="C98" s="13"/>
      <c r="E98" s="119"/>
      <c r="F98" s="100">
        <v>1</v>
      </c>
    </row>
    <row r="99" spans="1:6" customFormat="1" x14ac:dyDescent="0.3">
      <c r="A99" s="194" t="s">
        <v>209</v>
      </c>
      <c r="B99" s="13"/>
      <c r="C99" s="13"/>
      <c r="E99" s="119"/>
      <c r="F99" s="100"/>
    </row>
    <row r="100" spans="1:6" customFormat="1" x14ac:dyDescent="0.3">
      <c r="A100" s="194" t="s">
        <v>210</v>
      </c>
      <c r="B100" s="13"/>
      <c r="C100" s="13"/>
      <c r="E100" s="119"/>
      <c r="F100" s="100">
        <v>1</v>
      </c>
    </row>
    <row r="101" spans="1:6" customFormat="1" x14ac:dyDescent="0.3">
      <c r="A101" s="194"/>
      <c r="B101" s="13"/>
      <c r="C101" s="13"/>
      <c r="E101" s="119"/>
      <c r="F101" s="100"/>
    </row>
    <row r="102" spans="1:6" customFormat="1" ht="23.4" x14ac:dyDescent="0.45">
      <c r="A102" s="241" t="s">
        <v>222</v>
      </c>
      <c r="B102" s="241"/>
      <c r="C102" s="241"/>
      <c r="D102" s="241"/>
      <c r="E102" s="241"/>
      <c r="F102" s="100"/>
    </row>
    <row r="103" spans="1:6" customFormat="1" x14ac:dyDescent="0.3">
      <c r="A103" s="124"/>
      <c r="B103" s="13"/>
      <c r="C103" s="13"/>
      <c r="E103" s="119"/>
      <c r="F103" s="100">
        <v>1</v>
      </c>
    </row>
    <row r="104" spans="1:6" customFormat="1" ht="147" customHeight="1" x14ac:dyDescent="0.3">
      <c r="A104" s="245" t="s">
        <v>207</v>
      </c>
      <c r="B104" s="245"/>
      <c r="C104" s="245"/>
      <c r="D104" s="245"/>
      <c r="E104" s="245"/>
      <c r="F104" s="100">
        <v>1</v>
      </c>
    </row>
    <row r="105" spans="1:6" customFormat="1" x14ac:dyDescent="0.3">
      <c r="A105" s="13"/>
      <c r="B105" s="13"/>
      <c r="C105" s="13"/>
      <c r="E105" s="119"/>
      <c r="F105" s="100"/>
    </row>
    <row r="106" spans="1:6" customFormat="1" x14ac:dyDescent="0.3">
      <c r="F106" s="100"/>
    </row>
    <row r="107" spans="1:6" customFormat="1" ht="21" x14ac:dyDescent="0.3">
      <c r="A107" s="230" t="s">
        <v>193</v>
      </c>
      <c r="B107" s="231"/>
      <c r="C107" s="231"/>
      <c r="D107" s="231"/>
      <c r="E107" s="231"/>
    </row>
    <row r="108" spans="1:6" customFormat="1" ht="48" customHeight="1" x14ac:dyDescent="0.3">
      <c r="A108" s="242" t="s">
        <v>206</v>
      </c>
      <c r="B108" s="242"/>
      <c r="C108" s="242"/>
      <c r="D108" s="242"/>
      <c r="E108" s="242"/>
    </row>
    <row r="109" spans="1:6" customFormat="1" ht="14.4" x14ac:dyDescent="0.3">
      <c r="A109" s="13"/>
    </row>
    <row r="110" spans="1:6" customFormat="1" ht="23.4" x14ac:dyDescent="0.45">
      <c r="A110" s="243" t="s">
        <v>184</v>
      </c>
      <c r="B110" s="243"/>
      <c r="C110" s="243"/>
      <c r="D110" s="243"/>
      <c r="E110" s="243"/>
    </row>
    <row r="111" spans="1:6" customFormat="1" x14ac:dyDescent="0.3">
      <c r="D111" s="122"/>
      <c r="E111" s="2"/>
    </row>
    <row r="112" spans="1:6" customFormat="1" ht="14.4" x14ac:dyDescent="0.3"/>
    <row r="113" spans="3:10" customFormat="1" ht="14.4" x14ac:dyDescent="0.3"/>
    <row r="114" spans="3:10" customFormat="1" ht="14.4" x14ac:dyDescent="0.3"/>
    <row r="115" spans="3:10" customFormat="1" ht="14.4" x14ac:dyDescent="0.3"/>
    <row r="116" spans="3:10" customFormat="1" ht="14.4" x14ac:dyDescent="0.3"/>
    <row r="117" spans="3:10" customFormat="1" ht="14.4" x14ac:dyDescent="0.3"/>
    <row r="118" spans="3:10" customFormat="1" ht="14.4" x14ac:dyDescent="0.3"/>
    <row r="119" spans="3:10" customFormat="1" ht="14.4" x14ac:dyDescent="0.3"/>
    <row r="120" spans="3:10" customFormat="1" ht="14.4" x14ac:dyDescent="0.3"/>
    <row r="121" spans="3:10" customFormat="1" ht="14.4" x14ac:dyDescent="0.3"/>
    <row r="122" spans="3:10" customFormat="1" ht="14.4" x14ac:dyDescent="0.3"/>
    <row r="123" spans="3:10" customFormat="1" ht="14.4" x14ac:dyDescent="0.3"/>
    <row r="124" spans="3:10" customFormat="1" ht="14.4" x14ac:dyDescent="0.3"/>
    <row r="125" spans="3:10" x14ac:dyDescent="0.3">
      <c r="C125"/>
      <c r="D125"/>
      <c r="E125"/>
      <c r="F125"/>
      <c r="I125"/>
    </row>
    <row r="126" spans="3:10" x14ac:dyDescent="0.3">
      <c r="F126" s="13"/>
      <c r="I126"/>
    </row>
    <row r="127" spans="3:10" x14ac:dyDescent="0.3">
      <c r="F127" s="13"/>
      <c r="I127"/>
    </row>
    <row r="128" spans="3:10" x14ac:dyDescent="0.3">
      <c r="E128" s="120"/>
      <c r="F128" s="13"/>
      <c r="G128" s="109"/>
      <c r="H128" s="100"/>
      <c r="I128"/>
      <c r="J128" s="100"/>
    </row>
    <row r="129" spans="3:10" x14ac:dyDescent="0.3">
      <c r="E129" s="120"/>
      <c r="F129" s="13"/>
      <c r="G129" s="109"/>
      <c r="H129" s="100"/>
      <c r="I129"/>
      <c r="J129" s="100"/>
    </row>
    <row r="130" spans="3:10" x14ac:dyDescent="0.3">
      <c r="E130" s="120"/>
      <c r="F130" s="13"/>
      <c r="G130" s="109"/>
      <c r="H130" s="100"/>
      <c r="I130"/>
      <c r="J130" s="100"/>
    </row>
    <row r="131" spans="3:10" x14ac:dyDescent="0.3">
      <c r="E131" s="120"/>
      <c r="F131" s="13"/>
      <c r="G131" s="109"/>
      <c r="H131" s="100"/>
      <c r="I131"/>
      <c r="J131" s="100"/>
    </row>
    <row r="132" spans="3:10" x14ac:dyDescent="0.3">
      <c r="E132" s="120"/>
      <c r="F132" s="13"/>
      <c r="I132"/>
    </row>
    <row r="133" spans="3:10" x14ac:dyDescent="0.3">
      <c r="E133" s="121"/>
      <c r="F133" s="13"/>
      <c r="I133"/>
    </row>
    <row r="134" spans="3:10" x14ac:dyDescent="0.3">
      <c r="C134" s="122"/>
      <c r="F134" s="13"/>
      <c r="I134"/>
    </row>
    <row r="135" spans="3:10" x14ac:dyDescent="0.3">
      <c r="E135" s="122"/>
      <c r="F135" s="13"/>
      <c r="I135"/>
    </row>
    <row r="136" spans="3:10" x14ac:dyDescent="0.3">
      <c r="F136" s="13"/>
      <c r="I136"/>
    </row>
    <row r="137" spans="3:10" x14ac:dyDescent="0.3">
      <c r="E137" s="123"/>
      <c r="F137" s="13"/>
      <c r="I137"/>
    </row>
    <row r="138" spans="3:10" x14ac:dyDescent="0.3">
      <c r="E138" s="124"/>
      <c r="F138" s="13"/>
      <c r="I138"/>
    </row>
    <row r="139" spans="3:10" x14ac:dyDescent="0.3">
      <c r="F139" s="13"/>
      <c r="I139"/>
    </row>
    <row r="140" spans="3:10" x14ac:dyDescent="0.3">
      <c r="E140" s="121"/>
      <c r="F140" s="13"/>
      <c r="I140"/>
    </row>
    <row r="141" spans="3:10" x14ac:dyDescent="0.3">
      <c r="I141"/>
    </row>
    <row r="142" spans="3:10" x14ac:dyDescent="0.3">
      <c r="E142" s="125"/>
      <c r="I142"/>
    </row>
    <row r="143" spans="3:10" x14ac:dyDescent="0.3">
      <c r="I143"/>
    </row>
    <row r="144" spans="3:10" x14ac:dyDescent="0.3">
      <c r="I144"/>
    </row>
    <row r="145" spans="9:9" x14ac:dyDescent="0.3">
      <c r="I145"/>
    </row>
    <row r="146" spans="9:9" x14ac:dyDescent="0.3">
      <c r="I146"/>
    </row>
    <row r="147" spans="9:9" x14ac:dyDescent="0.3">
      <c r="I147"/>
    </row>
    <row r="148" spans="9:9" x14ac:dyDescent="0.3">
      <c r="I148"/>
    </row>
    <row r="149" spans="9:9" x14ac:dyDescent="0.3">
      <c r="I149"/>
    </row>
    <row r="150" spans="9:9" x14ac:dyDescent="0.3">
      <c r="I150"/>
    </row>
    <row r="151" spans="9:9" x14ac:dyDescent="0.3">
      <c r="I151"/>
    </row>
    <row r="152" spans="9:9" x14ac:dyDescent="0.3">
      <c r="I152"/>
    </row>
    <row r="153" spans="9:9" x14ac:dyDescent="0.3">
      <c r="I153"/>
    </row>
    <row r="154" spans="9:9" x14ac:dyDescent="0.3">
      <c r="I154"/>
    </row>
    <row r="155" spans="9:9" x14ac:dyDescent="0.3">
      <c r="I155"/>
    </row>
    <row r="156" spans="9:9" x14ac:dyDescent="0.3">
      <c r="I156"/>
    </row>
    <row r="157" spans="9:9" x14ac:dyDescent="0.3">
      <c r="I157"/>
    </row>
    <row r="158" spans="9:9" x14ac:dyDescent="0.3">
      <c r="I158"/>
    </row>
    <row r="159" spans="9:9" x14ac:dyDescent="0.3">
      <c r="I159"/>
    </row>
    <row r="160" spans="9:9" x14ac:dyDescent="0.3">
      <c r="I160"/>
    </row>
    <row r="161" spans="9:9" x14ac:dyDescent="0.3">
      <c r="I161"/>
    </row>
    <row r="162" spans="9:9" x14ac:dyDescent="0.3">
      <c r="I162"/>
    </row>
    <row r="163" spans="9:9" x14ac:dyDescent="0.3">
      <c r="I163"/>
    </row>
    <row r="164" spans="9:9" x14ac:dyDescent="0.3">
      <c r="I164"/>
    </row>
    <row r="165" spans="9:9" x14ac:dyDescent="0.3">
      <c r="I165"/>
    </row>
    <row r="166" spans="9:9" x14ac:dyDescent="0.3">
      <c r="I166"/>
    </row>
    <row r="167" spans="9:9" x14ac:dyDescent="0.3">
      <c r="I167"/>
    </row>
    <row r="168" spans="9:9" x14ac:dyDescent="0.3">
      <c r="I168"/>
    </row>
    <row r="169" spans="9:9" x14ac:dyDescent="0.3">
      <c r="I169"/>
    </row>
    <row r="170" spans="9:9" x14ac:dyDescent="0.3">
      <c r="I170"/>
    </row>
    <row r="171" spans="9:9" x14ac:dyDescent="0.3">
      <c r="I171"/>
    </row>
    <row r="172" spans="9:9" x14ac:dyDescent="0.3">
      <c r="I172"/>
    </row>
    <row r="173" spans="9:9" x14ac:dyDescent="0.3">
      <c r="I173"/>
    </row>
    <row r="174" spans="9:9" x14ac:dyDescent="0.3">
      <c r="I174"/>
    </row>
    <row r="175" spans="9:9" x14ac:dyDescent="0.3">
      <c r="I175"/>
    </row>
    <row r="176" spans="9:9" x14ac:dyDescent="0.3">
      <c r="I176"/>
    </row>
    <row r="177" spans="9:9" x14ac:dyDescent="0.3">
      <c r="I177"/>
    </row>
    <row r="178" spans="9:9" x14ac:dyDescent="0.3">
      <c r="I178"/>
    </row>
    <row r="179" spans="9:9" x14ac:dyDescent="0.3">
      <c r="I179"/>
    </row>
    <row r="180" spans="9:9" x14ac:dyDescent="0.3">
      <c r="I180"/>
    </row>
    <row r="181" spans="9:9" x14ac:dyDescent="0.3">
      <c r="I181"/>
    </row>
    <row r="182" spans="9:9" x14ac:dyDescent="0.3">
      <c r="I182"/>
    </row>
    <row r="183" spans="9:9" x14ac:dyDescent="0.3">
      <c r="I183"/>
    </row>
    <row r="184" spans="9:9" x14ac:dyDescent="0.3">
      <c r="I184"/>
    </row>
    <row r="185" spans="9:9" x14ac:dyDescent="0.3">
      <c r="I185"/>
    </row>
    <row r="186" spans="9:9" x14ac:dyDescent="0.3">
      <c r="I186"/>
    </row>
    <row r="187" spans="9:9" x14ac:dyDescent="0.3">
      <c r="I187"/>
    </row>
    <row r="188" spans="9:9" x14ac:dyDescent="0.3">
      <c r="I188"/>
    </row>
    <row r="189" spans="9:9" x14ac:dyDescent="0.3">
      <c r="I189"/>
    </row>
    <row r="190" spans="9:9" x14ac:dyDescent="0.3">
      <c r="I190"/>
    </row>
    <row r="191" spans="9:9" x14ac:dyDescent="0.3">
      <c r="I191"/>
    </row>
    <row r="192" spans="9:9" x14ac:dyDescent="0.3">
      <c r="I192"/>
    </row>
    <row r="193" spans="9:9" x14ac:dyDescent="0.3">
      <c r="I193"/>
    </row>
    <row r="194" spans="9:9" x14ac:dyDescent="0.3">
      <c r="I194"/>
    </row>
    <row r="195" spans="9:9" x14ac:dyDescent="0.3">
      <c r="I195"/>
    </row>
  </sheetData>
  <sheetProtection formatCells="0"/>
  <autoFilter ref="F2:F140" xr:uid="{00000000-0009-0000-0000-000000000000}"/>
  <mergeCells count="42">
    <mergeCell ref="A52:B52"/>
    <mergeCell ref="A53:B53"/>
    <mergeCell ref="A54:B54"/>
    <mergeCell ref="A40:B40"/>
    <mergeCell ref="A41:B41"/>
    <mergeCell ref="A42:B42"/>
    <mergeCell ref="A46:B46"/>
    <mergeCell ref="A47:B47"/>
    <mergeCell ref="A43:B43"/>
    <mergeCell ref="A45:B45"/>
    <mergeCell ref="A108:E108"/>
    <mergeCell ref="A110:E110"/>
    <mergeCell ref="A69:B69"/>
    <mergeCell ref="A55:B55"/>
    <mergeCell ref="A81:B81"/>
    <mergeCell ref="A64:B64"/>
    <mergeCell ref="A56:B56"/>
    <mergeCell ref="A58:B58"/>
    <mergeCell ref="A59:B59"/>
    <mergeCell ref="A60:B60"/>
    <mergeCell ref="A57:B57"/>
    <mergeCell ref="A104:E104"/>
    <mergeCell ref="A92:E92"/>
    <mergeCell ref="B82:E82"/>
    <mergeCell ref="A61:B61"/>
    <mergeCell ref="A62:B62"/>
    <mergeCell ref="A3:C3"/>
    <mergeCell ref="A1:E1"/>
    <mergeCell ref="A107:E107"/>
    <mergeCell ref="C35:E35"/>
    <mergeCell ref="A44:B44"/>
    <mergeCell ref="A32:B32"/>
    <mergeCell ref="A49:B49"/>
    <mergeCell ref="A50:B50"/>
    <mergeCell ref="A51:B51"/>
    <mergeCell ref="A35:B35"/>
    <mergeCell ref="A36:B36"/>
    <mergeCell ref="A37:B37"/>
    <mergeCell ref="A38:B38"/>
    <mergeCell ref="A39:B39"/>
    <mergeCell ref="A102:E102"/>
    <mergeCell ref="A48:B48"/>
  </mergeCells>
  <dataValidations xWindow="701" yWindow="701" count="14">
    <dataValidation allowBlank="1" showErrorMessage="1" sqref="C79" xr:uid="{00000000-0002-0000-0000-000000000000}"/>
    <dataValidation allowBlank="1" showInputMessage="1" showErrorMessage="1" prompt="wpisz liczbę kierowników" sqref="D71" xr:uid="{00000000-0002-0000-0000-000002000000}"/>
    <dataValidation allowBlank="1" showInputMessage="1" showErrorMessage="1" prompt="można dokupić jeżeli na licencji jest już min. jedno stanowsiko dowolnego modułu samodzielnego min. w wersji srebrnej (patrz powyżej zaznaczone na zielono)" sqref="D8" xr:uid="{00000000-0002-0000-0000-000003000000}"/>
    <dataValidation allowBlank="1" showInputMessage="1" showErrorMessage="1" prompt="wymaga: Ewidencji Środków pieniężnych, dowolny moduł samodzielny min. w wersji srebrnej (patrz powyżej zaznaczone na zielono)" sqref="D26" xr:uid="{00000000-0002-0000-0000-000004000000}"/>
    <dataValidation allowBlank="1" showInputMessage="1" showErrorMessage="1" prompt="wymaga min. po 1 stanowisku modułów Handel_x000a_i CRM w wariancie złotym lub platynowym" sqref="D12" xr:uid="{00000000-0002-0000-0000-000005000000}"/>
    <dataValidation allowBlank="1" showInputMessage="1" showErrorMessage="1" prompt="wymaga min. 1 stanowiska modułu Handel w_x000a_wariancie złotym lub platynowym" sqref="D13" xr:uid="{00000000-0002-0000-0000-000006000000}"/>
    <dataValidation allowBlank="1" showInputMessage="1" showErrorMessage="1" prompt="na licencji musi być inny, dowolny moduł, którego działanie chcemy oprocesować" sqref="D22" xr:uid="{00000000-0002-0000-0000-000007000000}"/>
    <dataValidation allowBlank="1" showInputMessage="1" showErrorMessage="1" prompt="dowolny moduł, który chcemy &quot;poglądać&quot;" sqref="D25" xr:uid="{00000000-0002-0000-0000-000008000000}"/>
    <dataValidation allowBlank="1" showInputMessage="1" showErrorMessage="1" prompt="wymaga min. jednego modułu pozwalającego_x000a_generować dokumenty sprzedaży (generujące_x000a_należności – Faktury/Handel, Księga Podatkowa_x000a_oraz Księga Handlowa)" sqref="D9" xr:uid="{00000000-0002-0000-0000-000009000000}"/>
    <dataValidation allowBlank="1" showInputMessage="1" showErrorMessage="1" prompt="wpisz liczbę wszystkich użytkowników fizycznych" sqref="B93" xr:uid="{00000000-0002-0000-0000-00000B000000}"/>
    <dataValidation allowBlank="1" showInputMessage="1" showErrorMessage="1" prompt="wpisz liczbę kont utworzonych w Pulpicie Pracownika_x000a_lub sumę kont utworzonych w Pulpicie Pracownika i Kontrahenta " sqref="B94" xr:uid="{00000000-0002-0000-0000-00000C000000}"/>
    <dataValidation allowBlank="1" showInputMessage="1" showErrorMessage="1" prompt="Wymaga modułów: _x000a_Workflow platyna_x000a_DMS platyna _x000a_Harmonogram Zadań_x000a_Integracja OCR" sqref="A82:E82" xr:uid="{6B8C7512-9D83-42D0-9AB8-0094E65686F7}"/>
    <dataValidation allowBlank="1" showInputMessage="1" showErrorMessage="1" prompt="Wpisz liczbę stanowisk " sqref="D4" xr:uid="{5ACD064E-BEA6-4DEB-BC66-9F172A4C4992}"/>
    <dataValidation allowBlank="1" showInputMessage="1" showErrorMessage="1" prompt="wymaga min. po 1 stanowisku modułów Handel_x000a_i Produkcja w wariancie złotym lub platynowym" sqref="D29" xr:uid="{3121981C-C57B-4DB6-B2CB-7AAE6A2830C5}"/>
  </dataValidations>
  <hyperlinks>
    <hyperlink ref="A110:E110" r:id="rId1" display="Formularz oferty wyceny usługi enova365 IaaS &gt;" xr:uid="{00000000-0004-0000-0000-000000000000}"/>
    <hyperlink ref="A102:E102" r:id="rId2" display="enova365 SaaS jaki rodzaj bazy wybrać?" xr:uid="{00000000-0004-0000-0000-000001000000}"/>
    <hyperlink ref="B82:E82" r:id="rId3" display="cennik dostępny jest w Bazie Wiedzy" xr:uid="{5A180311-5EB4-4BD2-B4E5-1A1BEF9C9D22}"/>
  </hyperlinks>
  <pageMargins left="0.7" right="0.7" top="0.75" bottom="0.75" header="0.3" footer="0.3"/>
  <pageSetup paperSize="9" fitToHeight="0" orientation="landscape" r:id="rId4"/>
  <ignoredErrors>
    <ignoredError sqref="F64 F69 E6 E11 E24 C24 E71" formula="1"/>
  </ignoredErrors>
  <legacyDrawing r:id="rId5"/>
  <extLst>
    <ext xmlns:x14="http://schemas.microsoft.com/office/spreadsheetml/2009/9/main" uri="{CCE6A557-97BC-4b89-ADB6-D9C93CAAB3DF}">
      <x14:dataValidations xmlns:xm="http://schemas.microsoft.com/office/excel/2006/main" xWindow="701" yWindow="701" count="28">
        <x14:dataValidation type="list" allowBlank="1" showInputMessage="1" showErrorMessage="1" prompt="wymaga Pulpitu Pracownika" xr:uid="{00000000-0002-0000-0000-00000E000000}">
          <x14:formula1>
            <xm:f>'Cennik enova365'!$I$14:$I$15</xm:f>
          </x14:formula1>
          <xm:sqref>B72</xm:sqref>
        </x14:dataValidation>
        <x14:dataValidation type="list" allowBlank="1" showInputMessage="1" showErrorMessage="1" prompt="dowolny moduł min. w wersji złotej_x000a_(przynajmniej jedno, dowolne stanowsiko w ramach licencji Klienta musi być złote)" xr:uid="{00000000-0002-0000-0000-000010000000}">
          <x14:formula1>
            <xm:f>'Cennik enova365'!$I$14:$I$15</xm:f>
          </x14:formula1>
          <xm:sqref>D58 D60:D61</xm:sqref>
        </x14:dataValidation>
        <x14:dataValidation type="list" allowBlank="1" showInputMessage="1" showErrorMessage="1" prompt="wymaga: Ewidencji Środków pieniężnych, dowolny moduł samodzielny min. w wersji srebrnej (patrz powyżej zaznaczone na zielono)" xr:uid="{00000000-0002-0000-0000-000011000000}">
          <x14:formula1>
            <xm:f>'Cennik enova365'!$I$14:$I$15</xm:f>
          </x14:formula1>
          <xm:sqref>D48:D49</xm:sqref>
        </x14:dataValidation>
        <x14:dataValidation type="list" allowBlank="1" showInputMessage="1" showErrorMessage="1" xr:uid="{00000000-0002-0000-0000-000012000000}">
          <x14:formula1>
            <xm:f>'Cennik enova365'!$I$14:$I$15</xm:f>
          </x14:formula1>
          <xm:sqref>D79 B66:B67 D33</xm:sqref>
        </x14:dataValidation>
        <x14:dataValidation type="list" allowBlank="1" showInputMessage="1" showErrorMessage="1" xr:uid="{00000000-0002-0000-0000-000013000000}">
          <x14:formula1>
            <xm:f>'Cennik enova365'!$I$3:$I$5</xm:f>
          </x14:formula1>
          <xm:sqref>B25:B30 B4:B23</xm:sqref>
        </x14:dataValidation>
        <x14:dataValidation type="list" allowBlank="1" showInputMessage="1" showErrorMessage="1" prompt="Wybierz ilość" xr:uid="{00000000-0002-0000-0000-000014000000}">
          <x14:formula1>
            <xm:f>'Cennik enova365'!$I$18:$I$22</xm:f>
          </x14:formula1>
          <xm:sqref>D66</xm:sqref>
        </x14:dataValidation>
        <x14:dataValidation type="list" allowBlank="1" showInputMessage="1" showErrorMessage="1" prompt="wybierz przedział" xr:uid="{00000000-0002-0000-0000-000015000000}">
          <x14:formula1>
            <xm:f>'Cennik enova365'!$A$92:$A$97</xm:f>
          </x14:formula1>
          <xm:sqref>D70</xm:sqref>
        </x14:dataValidation>
        <x14:dataValidation type="list" allowBlank="1" showInputMessage="1" showErrorMessage="1" prompt="wymaga min. 1 stanowiska modułu Kadry Płace w wariacie złotym lub platynowym" xr:uid="{00000000-0002-0000-0000-000018000000}">
          <x14:formula1>
            <xm:f>'Cennik enova365'!$I$14:$I$15</xm:f>
          </x14:formula1>
          <xm:sqref>B70 D36:D41 D43:D45</xm:sqref>
        </x14:dataValidation>
        <x14:dataValidation type="list" allowBlank="1" showInputMessage="1" showErrorMessage="1" prompt="wymaga min. 1 stanowiska modułu Handel w wariacie złotym lub platynowym lub CRM w wariacie złotym lub platynowym_x000a_" xr:uid="{00000000-0002-0000-0000-000019000000}">
          <x14:formula1>
            <xm:f>'Cennik enova365'!$I$14:$I$15</xm:f>
          </x14:formula1>
          <xm:sqref>B73</xm:sqref>
        </x14:dataValidation>
        <x14:dataValidation type="list" allowBlank="1" showInputMessage="1" showErrorMessage="1" prompt="wymaga min. 1 stanowiska modułu Workflow w wariacie platynowym oraz innego Pulpitu" xr:uid="{00000000-0002-0000-0000-00001A000000}">
          <x14:formula1>
            <xm:f>'Cennik enova365'!$I$14:$I$15</xm:f>
          </x14:formula1>
          <xm:sqref>B74</xm:sqref>
        </x14:dataValidation>
        <x14:dataValidation type="list" allowBlank="1" showInputMessage="1" showErrorMessage="1" prompt="wymaga min. po 1 stanowisku modułów Kadry Płace w wariacie złotym lub platynowym oraz Handel w wariacie złotym lub platynowym_x000a_" xr:uid="{00000000-0002-0000-0000-00001B000000}">
          <x14:formula1>
            <xm:f>'Cennik enova365'!$I$14:$I$15</xm:f>
          </x14:formula1>
          <xm:sqref>D42</xm:sqref>
        </x14:dataValidation>
        <x14:dataValidation type="list" allowBlank="1" showInputMessage="1" showErrorMessage="1" prompt="wymaga:_x000a_Księga Handlowa min. złota_x000a_lub Księga Podatkowa" xr:uid="{00000000-0002-0000-0000-00001D000000}">
          <x14:formula1>
            <xm:f>'Cennik enova365'!$I$14:$I$15</xm:f>
          </x14:formula1>
          <xm:sqref>D50:D51</xm:sqref>
        </x14:dataValidation>
        <x14:dataValidation type="list" allowBlank="1" showInputMessage="1" showErrorMessage="1" prompt="wymaga:_x000a_Faktury min. srebrne_x000a_lub Handel min. srebrny_x000a_" xr:uid="{00000000-0002-0000-0000-00001E000000}">
          <x14:formula1>
            <xm:f>'Cennik enova365'!$I$14:$I$15</xm:f>
          </x14:formula1>
          <xm:sqref>D52</xm:sqref>
        </x14:dataValidation>
        <x14:dataValidation type="list" allowBlank="1" showInputMessage="1" showErrorMessage="1" prompt="dowolny moduł min. w wersji srebrnej" xr:uid="{00000000-0002-0000-0000-00001F000000}">
          <x14:formula1>
            <xm:f>'Cennik enova365'!$I$14:$I$15</xm:f>
          </x14:formula1>
          <xm:sqref>D53</xm:sqref>
        </x14:dataValidation>
        <x14:dataValidation type="list" allowBlank="1" showInputMessage="1" showErrorMessage="1" prompt="wymaga:_x000a_Faktury min. srebrne_x000a_lub Handel min. srebrny" xr:uid="{00000000-0002-0000-0000-000020000000}">
          <x14:formula1>
            <xm:f>'Cennik enova365'!$I$14:$I$15</xm:f>
          </x14:formula1>
          <xm:sqref>D54:D55</xm:sqref>
        </x14:dataValidation>
        <x14:dataValidation type="list" allowBlank="1" showInputMessage="1" showErrorMessage="1" prompt="wymaga:_x000a_CRM min. złoty_x000a_lub Projekty min. złote" xr:uid="{00000000-0002-0000-0000-000021000000}">
          <x14:formula1>
            <xm:f>'Cennik enova365'!$I$14:$I$15</xm:f>
          </x14:formula1>
          <xm:sqref>D59</xm:sqref>
        </x14:dataValidation>
        <x14:dataValidation type="list" allowBlank="1" showInputMessage="1" showErrorMessage="1" prompt="dowolny moduł min. w wersji złotej_x000a_(przynajmniej jedno, dowolne stanowisko w ramach licencji Klienta musi być multi)" xr:uid="{00000000-0002-0000-0000-000022000000}">
          <x14:formula1>
            <xm:f>'Cennik enova365'!$I$14:$I$15</xm:f>
          </x14:formula1>
          <xm:sqref>D56</xm:sqref>
        </x14:dataValidation>
        <x14:dataValidation type="list" allowBlank="1" showInputMessage="1" showErrorMessage="1" prompt="wybierz przedział" xr:uid="{00000000-0002-0000-0000-000023000000}">
          <x14:formula1>
            <xm:f>'Cennik enova365'!$A$110:$A$115</xm:f>
          </x14:formula1>
          <xm:sqref>D74:D76</xm:sqref>
        </x14:dataValidation>
        <x14:dataValidation type="list" allowBlank="1" showInputMessage="1" showErrorMessage="1" prompt="wybierz przedział" xr:uid="{00000000-0002-0000-0000-000024000000}">
          <x14:formula1>
            <xm:f>'Cennik enova365'!$A$102:$A$107</xm:f>
          </x14:formula1>
          <xm:sqref>D73</xm:sqref>
        </x14:dataValidation>
        <x14:dataValidation type="list" allowBlank="1" showInputMessage="1" showErrorMessage="1" prompt="wymaga:_x000a_Handel min. złoty" xr:uid="{00000000-0002-0000-0000-000025000000}">
          <x14:formula1>
            <xm:f>'Cennik enova365'!$I$14:$I$15</xm:f>
          </x14:formula1>
          <xm:sqref>D57</xm:sqref>
        </x14:dataValidation>
        <x14:dataValidation type="list" allowBlank="1" showInputMessage="1" showErrorMessage="1" prompt="wymaga modułu BI oraz innego Pulpitu" xr:uid="{00000000-0002-0000-0000-000027000000}">
          <x14:formula1>
            <xm:f>'Cennik enova365'!$I$14:$I$15</xm:f>
          </x14:formula1>
          <xm:sqref>B75</xm:sqref>
        </x14:dataValidation>
        <x14:dataValidation type="list" allowBlank="1" showInputMessage="1" showErrorMessage="1" xr:uid="{00000000-0002-0000-0000-000028000000}">
          <x14:formula1>
            <xm:f>'Cennik enova365'!$I$27:$I$37</xm:f>
          </x14:formula1>
          <xm:sqref>D67</xm:sqref>
        </x14:dataValidation>
        <x14:dataValidation type="list" allowBlank="1" showInputMessage="1" showErrorMessage="1" prompt="wymaga min. po 1 stanowisku modułów Praca Hybrydowa w wariacie złotym lub platynowym, Kadry Płace w wariacie złotym lub platynowym oraz Pulpitu Pracownika" xr:uid="{00000000-0002-0000-0000-000029000000}">
          <x14:formula1>
            <xm:f>'Cennik enova365'!$I$14:$I$15</xm:f>
          </x14:formula1>
          <xm:sqref>B76</xm:sqref>
        </x14:dataValidation>
        <x14:dataValidation type="list" allowBlank="1" showInputMessage="1" showErrorMessage="1" prompt="abonament roczny, przedział musi być zgodny z przedziałem licecnji ABBYY FlexiCapture Distributed for Invoices " xr:uid="{573BF575-B645-43A6-9BBB-D82B22785024}">
          <x14:formula1>
            <xm:f>'Cennik enova365'!$I$14:$I$15</xm:f>
          </x14:formula1>
          <xm:sqref>B83</xm:sqref>
        </x14:dataValidation>
        <x14:dataValidation type="list" allowBlank="1" showInputMessage="1" showErrorMessage="1" prompt="abonament roczny, przedział musi być zgodny z przedziałem licecnji ABBYY FlexiCapture Distributed for Invoices " xr:uid="{6E8AA73B-3A60-43CD-A68A-EAAFDBAFC12D}">
          <x14:formula1>
            <xm:f>'Cennik enova365'!$A$156:$A$168</xm:f>
          </x14:formula1>
          <xm:sqref>D83</xm:sqref>
        </x14:dataValidation>
        <x14:dataValidation type="list" allowBlank="1" showInputMessage="1" showErrorMessage="1" prompt="wymaga min. 1 stanowiska modułu Księga Handlowa w wariancie złotym lub platynowym" xr:uid="{1A24ECA8-6954-4327-9E86-DF7C0384DEF2}">
          <x14:formula1>
            <xm:f>'Cennik enova365'!$I$14:$I$15</xm:f>
          </x14:formula1>
          <xm:sqref>D46:D47</xm:sqref>
        </x14:dataValidation>
        <x14:dataValidation type="list" allowBlank="1" showInputMessage="1" showErrorMessage="1" prompt="wymaga Pulpitu Pracownika oraz min. 1 stanowiska modułu Kadry Płace w wariacie złotym lub platynowym" xr:uid="{3A242FFF-D151-4F81-A07A-F14FDFA217F6}">
          <x14:formula1>
            <xm:f>'Cennik enova365'!$I$14:$I$15</xm:f>
          </x14:formula1>
          <xm:sqref>B71</xm:sqref>
        </x14:dataValidation>
        <x14:dataValidation type="list" allowBlank="1" showInputMessage="1" showErrorMessage="1" prompt="wymaga min. 1 stanowisko modułu Handel w wariancie złotym lub platynowym oraz dodatku Integrator._x000a_Dodatek płatny dla wszystkich wersji kolorystycznych enova365." xr:uid="{E55A5D70-E75A-42C2-AE9A-4E1131E9B126}">
          <x14:formula1>
            <xm:f>'Cennik enova365'!$I$14:$I$15</xm:f>
          </x14:formula1>
          <xm:sqref>D62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8"/>
  <sheetViews>
    <sheetView zoomScale="80" zoomScaleNormal="80" workbookViewId="0">
      <selection activeCell="S24" sqref="S24"/>
    </sheetView>
  </sheetViews>
  <sheetFormatPr defaultColWidth="9.109375" defaultRowHeight="14.4" x14ac:dyDescent="0.3"/>
  <cols>
    <col min="1" max="1" width="49.33203125" customWidth="1"/>
    <col min="2" max="2" width="12.33203125" customWidth="1"/>
    <col min="3" max="3" width="12.6640625" customWidth="1"/>
    <col min="4" max="4" width="25.6640625" bestFit="1" customWidth="1"/>
    <col min="5" max="5" width="18.44140625" customWidth="1"/>
    <col min="6" max="6" width="20" customWidth="1"/>
    <col min="7" max="7" width="11.44140625" customWidth="1"/>
    <col min="9" max="9" width="59.33203125" customWidth="1"/>
    <col min="10" max="10" width="12.6640625" customWidth="1"/>
    <col min="11" max="11" width="9" hidden="1" customWidth="1"/>
    <col min="12" max="13" width="2" hidden="1" customWidth="1"/>
    <col min="14" max="14" width="9.109375" hidden="1" customWidth="1"/>
    <col min="15" max="15" width="9.109375" customWidth="1"/>
  </cols>
  <sheetData>
    <row r="1" spans="1:12" ht="21" x14ac:dyDescent="0.3">
      <c r="A1" s="230" t="s">
        <v>185</v>
      </c>
      <c r="B1" s="231"/>
      <c r="C1" s="231"/>
      <c r="D1" s="231"/>
      <c r="E1" s="231"/>
      <c r="F1" s="231"/>
    </row>
    <row r="2" spans="1:12" ht="78" x14ac:dyDescent="0.3">
      <c r="A2" s="6" t="s">
        <v>7</v>
      </c>
      <c r="B2" s="272" t="s">
        <v>52</v>
      </c>
      <c r="C2" s="273"/>
      <c r="D2" s="8" t="s">
        <v>78</v>
      </c>
      <c r="E2" s="9" t="s">
        <v>136</v>
      </c>
      <c r="F2" s="10" t="s">
        <v>9</v>
      </c>
      <c r="G2" s="87" t="s">
        <v>20</v>
      </c>
      <c r="I2" s="161" t="s">
        <v>138</v>
      </c>
    </row>
    <row r="3" spans="1:12" ht="15.6" x14ac:dyDescent="0.3">
      <c r="A3" s="227" t="s">
        <v>141</v>
      </c>
      <c r="B3" s="228"/>
      <c r="C3" s="228"/>
      <c r="D3" s="228"/>
      <c r="E3" s="54"/>
      <c r="F3" s="55"/>
      <c r="G3" s="13">
        <f>IF(F22&gt;0,1,0)</f>
        <v>0</v>
      </c>
    </row>
    <row r="4" spans="1:12" ht="15.6" x14ac:dyDescent="0.3">
      <c r="A4" s="159" t="s">
        <v>116</v>
      </c>
      <c r="B4" s="257" t="s">
        <v>3</v>
      </c>
      <c r="C4" s="258"/>
      <c r="D4" s="15">
        <f>IF($B4="srebro",VLOOKUP($A4,moduly_podstawowe_BR[],2,FALSE),IF($B4="złoto",VLOOKUP($A4,moduly_podstawowe_BR[],3,FALSE),IF($B4= "platyna",VLOOKUP($A4,moduly_podstawowe_BR[],4,FALSE))))</f>
        <v>303</v>
      </c>
      <c r="E4" s="16">
        <v>0</v>
      </c>
      <c r="F4" s="17">
        <f>E4*D4</f>
        <v>0</v>
      </c>
      <c r="G4" s="13">
        <f>IF(F4&gt;0,1,0)</f>
        <v>0</v>
      </c>
      <c r="L4">
        <f t="shared" ref="L4:L21" si="0">IF(AND(OR(B4="złoto",B4="srebro"),E4&gt;0),1,0)</f>
        <v>0</v>
      </c>
    </row>
    <row r="5" spans="1:12" ht="15.6" customHeight="1" x14ac:dyDescent="0.3">
      <c r="A5" s="159" t="s">
        <v>117</v>
      </c>
      <c r="B5" s="257" t="s">
        <v>1</v>
      </c>
      <c r="C5" s="258"/>
      <c r="D5" s="15">
        <f>IF($B5="srebro",VLOOKUP($A5,moduly_podstawowe_BR[],2,FALSE),IF($B5="złoto",VLOOKUP($A5,moduly_podstawowe_BR[],3,FALSE),IF($B5= "platyna",VLOOKUP($A5,moduly_podstawowe_BR[],4,FALSE))))</f>
        <v>48</v>
      </c>
      <c r="E5" s="16">
        <v>0</v>
      </c>
      <c r="F5" s="17">
        <f t="shared" ref="F5:F21" si="1">E5*D5</f>
        <v>0</v>
      </c>
      <c r="G5" s="13">
        <f t="shared" ref="G5:G80" si="2">IF(F5&gt;0,1,0)</f>
        <v>0</v>
      </c>
      <c r="I5" s="161"/>
      <c r="J5" s="161"/>
      <c r="K5" s="161"/>
      <c r="L5">
        <f t="shared" si="0"/>
        <v>0</v>
      </c>
    </row>
    <row r="6" spans="1:12" ht="15.6" x14ac:dyDescent="0.3">
      <c r="A6" s="159" t="s">
        <v>118</v>
      </c>
      <c r="B6" s="257" t="s">
        <v>3</v>
      </c>
      <c r="C6" s="258"/>
      <c r="D6" s="15">
        <f>IF($B6="srebro",VLOOKUP($A6,moduly_podstawowe_BR[],2,FALSE),IF($B6="złoto",VLOOKUP($A6,moduly_podstawowe_BR[],3,FALSE),IF($B6= "platyna",VLOOKUP($A6,moduly_podstawowe_BR[],4,FALSE))))</f>
        <v>228</v>
      </c>
      <c r="E6" s="16">
        <v>0</v>
      </c>
      <c r="F6" s="17">
        <f t="shared" si="1"/>
        <v>0</v>
      </c>
      <c r="G6" s="13">
        <f t="shared" si="2"/>
        <v>0</v>
      </c>
      <c r="I6" s="161"/>
      <c r="J6" s="161"/>
      <c r="K6" s="161"/>
      <c r="L6">
        <f t="shared" si="0"/>
        <v>0</v>
      </c>
    </row>
    <row r="7" spans="1:12" ht="15.6" x14ac:dyDescent="0.3">
      <c r="A7" s="159" t="s">
        <v>119</v>
      </c>
      <c r="B7" s="257" t="s">
        <v>3</v>
      </c>
      <c r="C7" s="258"/>
      <c r="D7" s="15">
        <f>IF($B7="srebro",VLOOKUP($A7,moduly_podstawowe_BR[],2,FALSE),IF($B7="złoto",VLOOKUP($A7,moduly_podstawowe_BR[],3,FALSE),IF($B7= "platyna",VLOOKUP($A7,moduly_podstawowe_BR[],4,FALSE))))</f>
        <v>90</v>
      </c>
      <c r="E7" s="16">
        <v>0</v>
      </c>
      <c r="F7" s="17">
        <f t="shared" si="1"/>
        <v>0</v>
      </c>
      <c r="G7" s="13">
        <f t="shared" si="2"/>
        <v>0</v>
      </c>
      <c r="I7" s="167" t="str">
        <f>IF(B7="platyna"," ",IF(AND(E5&gt;0,E6&gt;0,B7&lt;&gt;B6),"w tej konfiguracji Ks. Inwentarzowa musi mieć taki sam kolor jak Ks. Handlowa",IF(E7=0," ",IF(AND(E6&gt;0,B7&lt;&gt;B6),"Ks. Inwentarzowa musi mieć taki sam kolor jak Ks. Handlowa",IF(AND(E5&gt;0,E6=0,B5&lt;&gt;B7),"Ks. Inwentarzowa musi mieć taki sam kolor jak Ks. Podatkowa"," ")))))</f>
        <v xml:space="preserve"> </v>
      </c>
      <c r="J7" s="161"/>
      <c r="K7" s="161"/>
      <c r="L7">
        <f t="shared" si="0"/>
        <v>0</v>
      </c>
    </row>
    <row r="8" spans="1:12" ht="31.2" x14ac:dyDescent="0.3">
      <c r="A8" s="126" t="s">
        <v>98</v>
      </c>
      <c r="B8" s="257" t="s">
        <v>3</v>
      </c>
      <c r="C8" s="258"/>
      <c r="D8" s="15">
        <f>IF($B8="srebro",VLOOKUP($A8,moduly_podstawowe_BR[],2,FALSE),IF($B8="złoto",VLOOKUP($A8,moduly_podstawowe_BR[],3,FALSE),IF($B8= "platyna",VLOOKUP($A8,moduly_podstawowe_BR[],4,FALSE))))</f>
        <v>36</v>
      </c>
      <c r="E8" s="16">
        <v>0</v>
      </c>
      <c r="F8" s="17">
        <f t="shared" si="1"/>
        <v>0</v>
      </c>
      <c r="G8" s="13">
        <f t="shared" si="2"/>
        <v>0</v>
      </c>
      <c r="I8" s="161"/>
      <c r="J8" s="161"/>
      <c r="K8" s="161"/>
      <c r="L8">
        <f t="shared" si="0"/>
        <v>0</v>
      </c>
    </row>
    <row r="9" spans="1:12" ht="15.6" x14ac:dyDescent="0.3">
      <c r="A9" s="126" t="s">
        <v>82</v>
      </c>
      <c r="B9" s="257" t="s">
        <v>3</v>
      </c>
      <c r="C9" s="258"/>
      <c r="D9" s="15">
        <f>IF($B9="srebro",VLOOKUP($A9,moduly_podstawowe_BR[],2,FALSE),IF($B9="złoto",VLOOKUP($A9,moduly_podstawowe_BR[],3,FALSE),IF($B9= "platyna",VLOOKUP($A9,moduly_podstawowe_BR[],4,FALSE))))</f>
        <v>81</v>
      </c>
      <c r="E9" s="16">
        <v>0</v>
      </c>
      <c r="F9" s="17">
        <f t="shared" si="1"/>
        <v>0</v>
      </c>
      <c r="G9" s="13">
        <f t="shared" si="2"/>
        <v>0</v>
      </c>
      <c r="I9" s="161"/>
      <c r="J9" s="161"/>
      <c r="K9" s="161"/>
      <c r="L9">
        <f t="shared" si="0"/>
        <v>0</v>
      </c>
    </row>
    <row r="10" spans="1:12" ht="15.6" x14ac:dyDescent="0.3">
      <c r="A10" s="159" t="s">
        <v>93</v>
      </c>
      <c r="B10" s="257" t="s">
        <v>3</v>
      </c>
      <c r="C10" s="258"/>
      <c r="D10" s="15">
        <f>IF($B10="srebro",VLOOKUP($A10,moduly_podstawowe_BR[],2,FALSE),IF($B10="złoto",VLOOKUP($A10,moduly_podstawowe_BR[],3,FALSE),IF($B10= "platyna",VLOOKUP($A10,moduly_podstawowe_BR[],4,FALSE))))</f>
        <v>44</v>
      </c>
      <c r="E10" s="16">
        <v>0</v>
      </c>
      <c r="F10" s="17">
        <f t="shared" si="1"/>
        <v>0</v>
      </c>
      <c r="G10" s="13">
        <f t="shared" si="2"/>
        <v>0</v>
      </c>
      <c r="L10">
        <f t="shared" si="0"/>
        <v>0</v>
      </c>
    </row>
    <row r="11" spans="1:12" ht="15.6" x14ac:dyDescent="0.3">
      <c r="A11" s="159" t="s">
        <v>160</v>
      </c>
      <c r="B11" s="257" t="s">
        <v>3</v>
      </c>
      <c r="C11" s="258"/>
      <c r="D11" s="15">
        <f>IF($B11="srebro",VLOOKUP($A11,moduly_podstawowe_BR[],2,FALSE),IF($B11="złoto",VLOOKUP($A11,moduly_podstawowe_BR[],3,FALSE),IF($B11= "platyna",VLOOKUP($A11,moduly_podstawowe_BR[],4,FALSE))))</f>
        <v>83</v>
      </c>
      <c r="E11" s="16">
        <v>0</v>
      </c>
      <c r="F11" s="17">
        <f t="shared" si="1"/>
        <v>0</v>
      </c>
      <c r="G11" s="13">
        <f t="shared" si="2"/>
        <v>0</v>
      </c>
      <c r="I11" s="218" t="str">
        <f>IF(B11="srebro"," ", IF(E11+F11&gt;0,"zawiera pełną funcjonalność e-mail"," "))</f>
        <v xml:space="preserve"> </v>
      </c>
      <c r="L11">
        <f t="shared" si="0"/>
        <v>0</v>
      </c>
    </row>
    <row r="12" spans="1:12" ht="15.6" x14ac:dyDescent="0.3">
      <c r="A12" s="159" t="s">
        <v>161</v>
      </c>
      <c r="B12" s="257" t="s">
        <v>3</v>
      </c>
      <c r="C12" s="258"/>
      <c r="D12" s="15">
        <f>IF($B12="srebro",VLOOKUP($A12,moduly_podstawowe_BR[],2,FALSE),IF($B12="złoto",VLOOKUP($A12,moduly_podstawowe_BR[],3,FALSE),IF($B12= "platyna",VLOOKUP($A12,moduly_podstawowe_BR[],4,FALSE))))</f>
        <v>155</v>
      </c>
      <c r="E12" s="16">
        <v>0</v>
      </c>
      <c r="F12" s="17">
        <f t="shared" si="1"/>
        <v>0</v>
      </c>
      <c r="G12" s="13">
        <f t="shared" si="2"/>
        <v>0</v>
      </c>
      <c r="L12">
        <f t="shared" si="0"/>
        <v>0</v>
      </c>
    </row>
    <row r="13" spans="1:12" ht="15.6" x14ac:dyDescent="0.3">
      <c r="A13" s="159" t="s">
        <v>248</v>
      </c>
      <c r="B13" s="257" t="s">
        <v>3</v>
      </c>
      <c r="C13" s="258"/>
      <c r="D13" s="15">
        <f>IF($B13="srebro",VLOOKUP($A13,moduly_podstawowe_BR[],2,FALSE),IF($B13="złoto",VLOOKUP($A13,moduly_podstawowe_BR[],3,FALSE),IF($B13= "platyna",VLOOKUP($A13,moduly_podstawowe_BR[],4,FALSE))))</f>
        <v>307</v>
      </c>
      <c r="E13" s="16">
        <v>0</v>
      </c>
      <c r="F13" s="17">
        <f t="shared" si="1"/>
        <v>0</v>
      </c>
      <c r="G13" s="13">
        <f t="shared" si="2"/>
        <v>0</v>
      </c>
      <c r="L13">
        <f t="shared" si="0"/>
        <v>0</v>
      </c>
    </row>
    <row r="14" spans="1:12" ht="15.6" x14ac:dyDescent="0.3">
      <c r="A14" s="159" t="s">
        <v>252</v>
      </c>
      <c r="B14" s="257" t="s">
        <v>3</v>
      </c>
      <c r="C14" s="258"/>
      <c r="D14" s="15">
        <f>IF($B14="srebro",VLOOKUP($A14,moduly_podstawowe_BR[],2,FALSE),IF($B14="złoto",VLOOKUP($A14,moduly_podstawowe_BR[],3,FALSE),IF($B14= "platyna",VLOOKUP($A14,moduly_podstawowe_BR[],4,FALSE))))</f>
        <v>123</v>
      </c>
      <c r="E14" s="16">
        <v>0</v>
      </c>
      <c r="F14" s="17">
        <f t="shared" si="1"/>
        <v>0</v>
      </c>
      <c r="G14" s="13">
        <f t="shared" si="2"/>
        <v>0</v>
      </c>
      <c r="L14">
        <f t="shared" si="0"/>
        <v>0</v>
      </c>
    </row>
    <row r="15" spans="1:12" ht="15.6" x14ac:dyDescent="0.3">
      <c r="A15" s="32" t="s">
        <v>120</v>
      </c>
      <c r="B15" s="257" t="s">
        <v>3</v>
      </c>
      <c r="C15" s="258"/>
      <c r="D15" s="15">
        <f>IF($B15="srebro",VLOOKUP($A15,moduly_podstawowe_BR[],2,FALSE),IF($B15="złoto",VLOOKUP($A15,moduly_podstawowe_BR[],3,FALSE),IF($B15= "platyna",VLOOKUP($A15,moduly_podstawowe_BR[],4,FALSE))))</f>
        <v>19</v>
      </c>
      <c r="E15" s="16">
        <v>0</v>
      </c>
      <c r="F15" s="17">
        <f t="shared" si="1"/>
        <v>0</v>
      </c>
      <c r="G15" s="13">
        <f t="shared" si="2"/>
        <v>0</v>
      </c>
      <c r="L15">
        <f t="shared" si="0"/>
        <v>0</v>
      </c>
    </row>
    <row r="16" spans="1:12" ht="15.6" x14ac:dyDescent="0.3">
      <c r="A16" s="32" t="s">
        <v>121</v>
      </c>
      <c r="B16" s="257" t="s">
        <v>3</v>
      </c>
      <c r="C16" s="258"/>
      <c r="D16" s="15">
        <f>IF($B16="srebro",VLOOKUP($A16,moduly_podstawowe_BR[],2,FALSE),IF($B16="złoto",VLOOKUP($A16,moduly_podstawowe_BR[],3,FALSE),IF($B16= "platyna",VLOOKUP($A16,moduly_podstawowe_BR[],4,FALSE))))</f>
        <v>29</v>
      </c>
      <c r="E16" s="16">
        <v>0</v>
      </c>
      <c r="F16" s="17">
        <f t="shared" si="1"/>
        <v>0</v>
      </c>
      <c r="G16" s="13">
        <f t="shared" si="2"/>
        <v>0</v>
      </c>
      <c r="J16" s="116"/>
      <c r="L16">
        <f t="shared" si="0"/>
        <v>0</v>
      </c>
    </row>
    <row r="17" spans="1:13" ht="15.6" x14ac:dyDescent="0.3">
      <c r="A17" s="32" t="s">
        <v>122</v>
      </c>
      <c r="B17" s="274"/>
      <c r="C17" s="275"/>
      <c r="D17" s="15">
        <f>VLOOKUP(A17,moduly_podstawowe_BR[],4,FALSE)</f>
        <v>181</v>
      </c>
      <c r="E17" s="16">
        <v>0</v>
      </c>
      <c r="F17" s="17">
        <f t="shared" si="1"/>
        <v>0</v>
      </c>
      <c r="G17" s="13">
        <f t="shared" si="2"/>
        <v>0</v>
      </c>
      <c r="I17" t="s">
        <v>175</v>
      </c>
      <c r="J17" s="116"/>
      <c r="L17">
        <f t="shared" si="0"/>
        <v>0</v>
      </c>
    </row>
    <row r="18" spans="1:13" ht="15.6" x14ac:dyDescent="0.3">
      <c r="A18" s="32" t="s">
        <v>162</v>
      </c>
      <c r="B18" s="257" t="s">
        <v>3</v>
      </c>
      <c r="C18" s="258"/>
      <c r="D18" s="15">
        <f>IF($B18="srebro",VLOOKUP($A18,moduly_podstawowe_BR[],2,FALSE),IF($B18="złoto",VLOOKUP($A18,moduly_podstawowe_BR[],3,FALSE),IF($B18= "platyna",VLOOKUP($A18,moduly_podstawowe_BR[],4,FALSE))))</f>
        <v>63</v>
      </c>
      <c r="E18" s="16">
        <v>0</v>
      </c>
      <c r="F18" s="17">
        <f t="shared" si="1"/>
        <v>0</v>
      </c>
      <c r="G18" s="13">
        <f t="shared" si="2"/>
        <v>0</v>
      </c>
      <c r="J18" s="116"/>
      <c r="L18">
        <f t="shared" si="0"/>
        <v>0</v>
      </c>
    </row>
    <row r="19" spans="1:13" ht="15.6" x14ac:dyDescent="0.3">
      <c r="A19" s="32" t="s">
        <v>123</v>
      </c>
      <c r="B19" s="257" t="s">
        <v>3</v>
      </c>
      <c r="C19" s="258"/>
      <c r="D19" s="15">
        <f>IF($B19="srebro",VLOOKUP($A19,moduly_podstawowe_BR[],2,FALSE),IF($B19="złoto",VLOOKUP($A19,moduly_podstawowe_BR[],3,FALSE),IF($B19= "platyna",VLOOKUP($A19,moduly_podstawowe_BR[],4,FALSE))))</f>
        <v>72</v>
      </c>
      <c r="E19" s="16">
        <v>0</v>
      </c>
      <c r="F19" s="17">
        <f t="shared" si="1"/>
        <v>0</v>
      </c>
      <c r="G19" s="13">
        <f t="shared" si="2"/>
        <v>0</v>
      </c>
      <c r="J19" s="116"/>
      <c r="L19">
        <f t="shared" si="0"/>
        <v>0</v>
      </c>
    </row>
    <row r="20" spans="1:13" ht="15.6" x14ac:dyDescent="0.3">
      <c r="A20" s="159" t="s">
        <v>124</v>
      </c>
      <c r="B20" s="257" t="s">
        <v>3</v>
      </c>
      <c r="C20" s="258"/>
      <c r="D20" s="15">
        <f>IF($B20="srebro",VLOOKUP($A20,moduly_podstawowe_BR[],2,FALSE),IF($B20="złoto",VLOOKUP($A20,moduly_podstawowe_BR[],3,FALSE),IF($B20= "platyna",VLOOKUP($A20,moduly_podstawowe_BR[],4,FALSE))))</f>
        <v>45</v>
      </c>
      <c r="E20" s="16">
        <v>0</v>
      </c>
      <c r="F20" s="17">
        <f t="shared" si="1"/>
        <v>0</v>
      </c>
      <c r="G20" s="13">
        <f t="shared" si="2"/>
        <v>0</v>
      </c>
      <c r="J20" s="116"/>
      <c r="L20">
        <f t="shared" si="0"/>
        <v>0</v>
      </c>
    </row>
    <row r="21" spans="1:13" ht="15.6" x14ac:dyDescent="0.3">
      <c r="A21" s="215" t="s">
        <v>243</v>
      </c>
      <c r="B21" s="257" t="s">
        <v>3</v>
      </c>
      <c r="C21" s="258"/>
      <c r="D21" s="15">
        <f>IF($B21="srebro",VLOOKUP($A21,moduly_podstawowe_BR[],2,FALSE),IF($B21="złoto",VLOOKUP($A21,moduly_podstawowe_BR[],3,FALSE),IF($B21= "platyna",VLOOKUP($A21,moduly_podstawowe_BR[],4,FALSE))))</f>
        <v>9</v>
      </c>
      <c r="E21" s="16">
        <v>0</v>
      </c>
      <c r="F21" s="17">
        <f t="shared" si="1"/>
        <v>0</v>
      </c>
      <c r="G21" s="13">
        <f t="shared" si="2"/>
        <v>0</v>
      </c>
      <c r="J21" s="116"/>
      <c r="L21">
        <f t="shared" si="0"/>
        <v>0</v>
      </c>
    </row>
    <row r="22" spans="1:13" ht="15.6" x14ac:dyDescent="0.3">
      <c r="A22" s="259" t="s">
        <v>10</v>
      </c>
      <c r="B22" s="260"/>
      <c r="C22" s="261"/>
      <c r="D22" s="46"/>
      <c r="E22" s="46"/>
      <c r="F22" s="35">
        <f>SUM(F4:F21)</f>
        <v>0</v>
      </c>
      <c r="G22" s="13">
        <f t="shared" si="2"/>
        <v>0</v>
      </c>
      <c r="L22">
        <f>SUM(L4:L21)</f>
        <v>0</v>
      </c>
      <c r="M22">
        <f>L22</f>
        <v>0</v>
      </c>
    </row>
    <row r="23" spans="1:13" ht="15.6" x14ac:dyDescent="0.3">
      <c r="A23" s="237" t="s">
        <v>139</v>
      </c>
      <c r="B23" s="238"/>
      <c r="C23" s="204"/>
      <c r="D23" s="28"/>
      <c r="E23" s="130"/>
      <c r="F23" s="127"/>
      <c r="G23" s="100">
        <f>G25</f>
        <v>0</v>
      </c>
    </row>
    <row r="24" spans="1:13" ht="15.6" x14ac:dyDescent="0.3">
      <c r="A24" s="128" t="s">
        <v>165</v>
      </c>
      <c r="B24" s="257" t="str">
        <f>IF(SUM(E4:E21)=0," ",IF(AND(SUM(E4:E14,E18:E20)&gt;0,M22&gt;0),"złoto","platyna"))</f>
        <v xml:space="preserve"> </v>
      </c>
      <c r="C24" s="258"/>
      <c r="D24" s="15" t="str">
        <f>IF(B24="złoto",VLOOKUP(SUM(E4:E14,E18:E20),BI[],4,TRUE),IF(B24="platyna",VLOOKUP(SUM(E4:E14,E18:E20),BI[],5,TRUE)," "))</f>
        <v xml:space="preserve"> </v>
      </c>
      <c r="E24" s="16" t="s">
        <v>4</v>
      </c>
      <c r="F24" s="17">
        <f>IF(E24="TAK",D24,0)</f>
        <v>0</v>
      </c>
      <c r="G24" s="100">
        <f t="shared" ref="G24:G25" si="3">IF(F24&gt;0,1,0)</f>
        <v>0</v>
      </c>
    </row>
    <row r="25" spans="1:13" ht="15.6" x14ac:dyDescent="0.3">
      <c r="A25" s="269" t="s">
        <v>81</v>
      </c>
      <c r="B25" s="270"/>
      <c r="C25" s="271"/>
      <c r="D25" s="106"/>
      <c r="E25" s="107"/>
      <c r="F25" s="20">
        <f>SUM(F24:F24)</f>
        <v>0</v>
      </c>
      <c r="G25" s="100">
        <f t="shared" si="3"/>
        <v>0</v>
      </c>
    </row>
    <row r="26" spans="1:13" ht="15.6" x14ac:dyDescent="0.3">
      <c r="A26" s="244" t="s">
        <v>142</v>
      </c>
      <c r="B26" s="240"/>
      <c r="C26" s="205"/>
      <c r="D26" s="56"/>
      <c r="E26" s="56" t="s">
        <v>29</v>
      </c>
      <c r="F26" s="57"/>
      <c r="G26" s="13">
        <f>IF(F33&gt;0,1,0)</f>
        <v>0</v>
      </c>
    </row>
    <row r="27" spans="1:13" ht="15.6" x14ac:dyDescent="0.3">
      <c r="A27" s="32" t="s">
        <v>53</v>
      </c>
      <c r="B27" s="257" t="s">
        <v>4</v>
      </c>
      <c r="C27" s="258"/>
      <c r="D27" s="15">
        <f>VLOOKUP(E27,pulpity_KP[],2,FALSE)</f>
        <v>206</v>
      </c>
      <c r="E27" s="16" t="s">
        <v>151</v>
      </c>
      <c r="F27" s="17">
        <f>IF(B27="TAK",D27,0)</f>
        <v>0</v>
      </c>
      <c r="G27" s="13">
        <f t="shared" si="2"/>
        <v>0</v>
      </c>
    </row>
    <row r="28" spans="1:13" ht="15.6" x14ac:dyDescent="0.3">
      <c r="A28" s="32" t="s">
        <v>25</v>
      </c>
      <c r="B28" s="257" t="s">
        <v>4</v>
      </c>
      <c r="C28" s="258"/>
      <c r="D28" s="15">
        <f>VLOOKUP(A28,pulpity_KP[],2,FALSE)</f>
        <v>14</v>
      </c>
      <c r="E28" s="16">
        <v>0</v>
      </c>
      <c r="F28" s="17">
        <f>IF(B28="TAK",D28*E28,0)</f>
        <v>0</v>
      </c>
      <c r="G28" s="13">
        <f t="shared" si="2"/>
        <v>0</v>
      </c>
    </row>
    <row r="29" spans="1:13" s="100" customFormat="1" ht="15.6" x14ac:dyDescent="0.3">
      <c r="A29" s="32" t="s">
        <v>84</v>
      </c>
      <c r="B29" s="257" t="s">
        <v>4</v>
      </c>
      <c r="C29" s="258"/>
      <c r="D29" s="15">
        <f>VLOOKUP(A29,pulpity_KP[],2,FALSE)</f>
        <v>342</v>
      </c>
      <c r="E29" s="15"/>
      <c r="F29" s="17">
        <f>IF(B29="TAK",D29,0)</f>
        <v>0</v>
      </c>
      <c r="G29" s="100">
        <f t="shared" ref="G29" si="4">IF(F29&gt;0,1,0)</f>
        <v>0</v>
      </c>
      <c r="I29" s="101"/>
      <c r="J29" s="109"/>
      <c r="K29" s="109"/>
    </row>
    <row r="30" spans="1:13" ht="15.6" x14ac:dyDescent="0.3">
      <c r="A30" s="32" t="s">
        <v>65</v>
      </c>
      <c r="B30" s="257" t="s">
        <v>4</v>
      </c>
      <c r="C30" s="258"/>
      <c r="D30" s="15">
        <f>VLOOKUP(E30,pulpity_WF[],2,FALSE)</f>
        <v>103</v>
      </c>
      <c r="E30" s="16" t="s">
        <v>151</v>
      </c>
      <c r="F30" s="17">
        <f>IF(B30="TAK",D30,0)</f>
        <v>0</v>
      </c>
      <c r="G30" s="13">
        <f>IF(F30&gt;0,1,0)</f>
        <v>0</v>
      </c>
    </row>
    <row r="31" spans="1:13" ht="15.6" x14ac:dyDescent="0.3">
      <c r="A31" s="32" t="s">
        <v>192</v>
      </c>
      <c r="B31" s="257" t="s">
        <v>4</v>
      </c>
      <c r="C31" s="258"/>
      <c r="D31" s="15">
        <f>VLOOKUP(E31,pulpity_BI[],2,FALSE)</f>
        <v>59</v>
      </c>
      <c r="E31" s="16" t="s">
        <v>151</v>
      </c>
      <c r="F31" s="17">
        <f>IF(B31="TAK",D31,0)</f>
        <v>0</v>
      </c>
      <c r="G31" s="13">
        <f>IF(F31&gt;0,1,0)</f>
        <v>0</v>
      </c>
      <c r="I31" s="196" t="str">
        <f>IF(B75="TAK","ceny promocyjne do 30.06.2021"," ")</f>
        <v xml:space="preserve"> </v>
      </c>
    </row>
    <row r="32" spans="1:13" ht="15.6" x14ac:dyDescent="0.3">
      <c r="A32" s="213" t="s">
        <v>244</v>
      </c>
      <c r="B32" s="257" t="s">
        <v>4</v>
      </c>
      <c r="C32" s="258"/>
      <c r="D32" s="15">
        <f>VLOOKUP(E32,enova365_Praca_Hybrydowa_w_Pulpitach,2,FALSE)</f>
        <v>98</v>
      </c>
      <c r="E32" s="16" t="s">
        <v>151</v>
      </c>
      <c r="F32" s="17">
        <f>IF(B32="TAK",D32,0)</f>
        <v>0</v>
      </c>
      <c r="G32" s="13">
        <f>IF(F32&gt;0,1,0)</f>
        <v>0</v>
      </c>
      <c r="I32" s="196"/>
    </row>
    <row r="33" spans="1:9" ht="15.6" x14ac:dyDescent="0.3">
      <c r="A33" s="259" t="s">
        <v>32</v>
      </c>
      <c r="B33" s="260"/>
      <c r="C33" s="261"/>
      <c r="D33" s="46"/>
      <c r="E33" s="46"/>
      <c r="F33" s="35">
        <f>SUM(F27:F32)</f>
        <v>0</v>
      </c>
      <c r="G33" s="13">
        <f t="shared" si="2"/>
        <v>0</v>
      </c>
    </row>
    <row r="34" spans="1:9" ht="15.6" x14ac:dyDescent="0.3">
      <c r="A34" s="237" t="s">
        <v>147</v>
      </c>
      <c r="B34" s="238"/>
      <c r="C34" s="204"/>
      <c r="D34" s="58"/>
      <c r="E34" s="56" t="s">
        <v>26</v>
      </c>
      <c r="F34" s="59"/>
      <c r="G34" s="13">
        <f>IF(F35&gt;0,1,0)</f>
        <v>0</v>
      </c>
    </row>
    <row r="35" spans="1:9" ht="31.2" x14ac:dyDescent="0.3">
      <c r="A35" s="47" t="s">
        <v>149</v>
      </c>
      <c r="B35" s="278" t="s">
        <v>4</v>
      </c>
      <c r="C35" s="279"/>
      <c r="D35" s="48">
        <f>VLOOKUP("dopłata za kolejną bazę",pulpity_KBR[],2,FALSE)</f>
        <v>5.475E-2</v>
      </c>
      <c r="E35" s="69">
        <v>0</v>
      </c>
      <c r="F35" s="49">
        <f>IF(B35="TAK",(F33*E35)*D35,0)</f>
        <v>0</v>
      </c>
      <c r="G35" s="50">
        <f t="shared" si="2"/>
        <v>0</v>
      </c>
    </row>
    <row r="36" spans="1:9" ht="15.6" x14ac:dyDescent="0.3">
      <c r="A36" s="259" t="s">
        <v>68</v>
      </c>
      <c r="B36" s="260"/>
      <c r="C36" s="261"/>
      <c r="D36" s="33"/>
      <c r="E36" s="33"/>
      <c r="F36" s="35">
        <f>F33+F35</f>
        <v>0</v>
      </c>
      <c r="G36" s="13">
        <f t="shared" si="2"/>
        <v>0</v>
      </c>
    </row>
    <row r="37" spans="1:9" ht="15.6" x14ac:dyDescent="0.3">
      <c r="A37" s="244" t="s">
        <v>148</v>
      </c>
      <c r="B37" s="240"/>
      <c r="C37" s="205"/>
      <c r="D37" s="60"/>
      <c r="E37" s="56" t="s">
        <v>72</v>
      </c>
      <c r="F37" s="61"/>
      <c r="G37" s="13">
        <f>IF(F39&gt;0,1,0)</f>
        <v>0</v>
      </c>
    </row>
    <row r="38" spans="1:9" ht="15.6" x14ac:dyDescent="0.3">
      <c r="A38" s="32" t="s">
        <v>66</v>
      </c>
      <c r="B38" s="68" t="s">
        <v>4</v>
      </c>
      <c r="C38" s="212" t="s">
        <v>218</v>
      </c>
      <c r="D38" s="15">
        <f>IF($C38="Podstawowy",VLOOKUP($E38,pulpity_KBR[],2,FALSE),IF($C38="Rozszerzony",VLOOKUP($E38,pulpity_KBR[],3,FALSE)))</f>
        <v>225</v>
      </c>
      <c r="E38" s="16" t="s">
        <v>157</v>
      </c>
      <c r="F38" s="17">
        <f>IF(B38="TAK",D38,0)</f>
        <v>0</v>
      </c>
      <c r="G38" s="13">
        <f t="shared" si="2"/>
        <v>0</v>
      </c>
      <c r="I38" s="216" t="str">
        <f>IF(B38="NIE"," ",IF(C38="PODSTAWOWY","",IF(C38="ROZSZERZONY","wymaga posiadania na licencji min. 1 st. Faktur w wersji srebrnej")))</f>
        <v xml:space="preserve"> </v>
      </c>
    </row>
    <row r="39" spans="1:9" ht="15.6" x14ac:dyDescent="0.3">
      <c r="A39" s="259" t="s">
        <v>67</v>
      </c>
      <c r="B39" s="260"/>
      <c r="C39" s="261"/>
      <c r="D39" s="46"/>
      <c r="E39" s="46"/>
      <c r="F39" s="35">
        <f>F38</f>
        <v>0</v>
      </c>
      <c r="G39" s="13">
        <f t="shared" si="2"/>
        <v>0</v>
      </c>
    </row>
    <row r="40" spans="1:9" ht="47.4" customHeight="1" x14ac:dyDescent="0.3">
      <c r="A40" s="239" t="s">
        <v>140</v>
      </c>
      <c r="B40" s="240"/>
      <c r="C40" s="205"/>
      <c r="D40" s="62"/>
      <c r="E40" s="60"/>
      <c r="F40" s="61"/>
      <c r="G40" s="13">
        <f>G66</f>
        <v>1</v>
      </c>
    </row>
    <row r="41" spans="1:9" ht="15.6" x14ac:dyDescent="0.3">
      <c r="A41" s="235" t="s">
        <v>86</v>
      </c>
      <c r="B41" s="236"/>
      <c r="C41" s="199"/>
      <c r="D41" s="15">
        <f>VLOOKUP($A41,moduly_dodatkowe[],2,FALSE)</f>
        <v>171</v>
      </c>
      <c r="E41" s="16" t="s">
        <v>4</v>
      </c>
      <c r="F41" s="17">
        <f t="shared" ref="F41:F64" si="5">IF(SUM(E$4:E$16)=0,IF(E41="TAK",D41,0),IF(M$22=0,0,IF(E41="TAK",D41,0)))</f>
        <v>0</v>
      </c>
      <c r="G41" s="13">
        <f t="shared" ref="G41:G64" si="6">IF(E41="TAK",1,0)</f>
        <v>0</v>
      </c>
    </row>
    <row r="42" spans="1:9" ht="15.6" x14ac:dyDescent="0.3">
      <c r="A42" s="235" t="s">
        <v>45</v>
      </c>
      <c r="B42" s="236"/>
      <c r="C42" s="199"/>
      <c r="D42" s="15">
        <f>VLOOKUP($A42,moduly_dodatkowe[],2,FALSE)</f>
        <v>171</v>
      </c>
      <c r="E42" s="16" t="s">
        <v>4</v>
      </c>
      <c r="F42" s="17">
        <f t="shared" si="5"/>
        <v>0</v>
      </c>
      <c r="G42" s="13">
        <f t="shared" si="6"/>
        <v>0</v>
      </c>
    </row>
    <row r="43" spans="1:9" ht="15.6" x14ac:dyDescent="0.3">
      <c r="A43" s="235" t="s">
        <v>87</v>
      </c>
      <c r="B43" s="236"/>
      <c r="C43" s="199"/>
      <c r="D43" s="15">
        <f>VLOOKUP($A43,moduly_dodatkowe[],2,FALSE)</f>
        <v>518</v>
      </c>
      <c r="E43" s="16" t="s">
        <v>4</v>
      </c>
      <c r="F43" s="17">
        <f t="shared" si="5"/>
        <v>0</v>
      </c>
      <c r="G43" s="13">
        <f t="shared" si="6"/>
        <v>0</v>
      </c>
    </row>
    <row r="44" spans="1:9" ht="15.6" x14ac:dyDescent="0.3">
      <c r="A44" s="235" t="s">
        <v>88</v>
      </c>
      <c r="B44" s="236"/>
      <c r="C44" s="199"/>
      <c r="D44" s="15">
        <f>VLOOKUP($A44,moduly_dodatkowe[],2,FALSE)</f>
        <v>48</v>
      </c>
      <c r="E44" s="16" t="s">
        <v>4</v>
      </c>
      <c r="F44" s="17">
        <f t="shared" si="5"/>
        <v>0</v>
      </c>
      <c r="G44" s="13">
        <f t="shared" si="6"/>
        <v>0</v>
      </c>
    </row>
    <row r="45" spans="1:9" ht="15.6" x14ac:dyDescent="0.3">
      <c r="A45" s="235" t="s">
        <v>46</v>
      </c>
      <c r="B45" s="236"/>
      <c r="C45" s="199"/>
      <c r="D45" s="15">
        <f>VLOOKUP($A45,moduly_dodatkowe[],2,FALSE)</f>
        <v>137</v>
      </c>
      <c r="E45" s="16" t="s">
        <v>4</v>
      </c>
      <c r="F45" s="17">
        <f t="shared" si="5"/>
        <v>0</v>
      </c>
      <c r="G45" s="13">
        <f t="shared" si="6"/>
        <v>0</v>
      </c>
    </row>
    <row r="46" spans="1:9" ht="15.6" x14ac:dyDescent="0.3">
      <c r="A46" s="235" t="s">
        <v>89</v>
      </c>
      <c r="B46" s="236"/>
      <c r="C46" s="199"/>
      <c r="D46" s="15">
        <f>VLOOKUP($A46,moduly_dodatkowe[],2,FALSE)</f>
        <v>137</v>
      </c>
      <c r="E46" s="16" t="s">
        <v>4</v>
      </c>
      <c r="F46" s="17">
        <f t="shared" si="5"/>
        <v>0</v>
      </c>
      <c r="G46" s="13">
        <f t="shared" si="6"/>
        <v>0</v>
      </c>
    </row>
    <row r="47" spans="1:9" ht="15.6" x14ac:dyDescent="0.3">
      <c r="A47" s="213" t="s">
        <v>85</v>
      </c>
      <c r="B47" s="214"/>
      <c r="C47" s="199"/>
      <c r="D47" s="15">
        <f>VLOOKUP($A47,moduly_dodatkowe[],2,FALSE)</f>
        <v>103</v>
      </c>
      <c r="E47" s="16" t="s">
        <v>4</v>
      </c>
      <c r="F47" s="17">
        <f t="shared" si="5"/>
        <v>0</v>
      </c>
      <c r="G47" s="100">
        <f t="shared" si="6"/>
        <v>0</v>
      </c>
    </row>
    <row r="48" spans="1:9" ht="15.6" x14ac:dyDescent="0.3">
      <c r="A48" s="235" t="s">
        <v>215</v>
      </c>
      <c r="B48" s="236"/>
      <c r="C48" s="199"/>
      <c r="D48" s="15">
        <f>VLOOKUP($A48,moduly_dodatkowe[],2,FALSE)</f>
        <v>296</v>
      </c>
      <c r="E48" s="16" t="s">
        <v>4</v>
      </c>
      <c r="F48" s="17">
        <f t="shared" si="5"/>
        <v>0</v>
      </c>
      <c r="G48" s="100">
        <f t="shared" si="6"/>
        <v>0</v>
      </c>
    </row>
    <row r="49" spans="1:7" ht="15.6" x14ac:dyDescent="0.3">
      <c r="A49" s="235" t="s">
        <v>163</v>
      </c>
      <c r="B49" s="236"/>
      <c r="C49" s="199"/>
      <c r="D49" s="15">
        <f>VLOOKUP($A49,moduly_dodatkowe[],2,FALSE)</f>
        <v>62</v>
      </c>
      <c r="E49" s="16" t="s">
        <v>4</v>
      </c>
      <c r="F49" s="17">
        <f t="shared" si="5"/>
        <v>0</v>
      </c>
      <c r="G49" s="100">
        <f t="shared" si="6"/>
        <v>0</v>
      </c>
    </row>
    <row r="50" spans="1:7" ht="15.6" x14ac:dyDescent="0.3">
      <c r="A50" s="235" t="s">
        <v>247</v>
      </c>
      <c r="B50" s="236"/>
      <c r="C50" s="249"/>
      <c r="D50" s="15">
        <f>VLOOKUP($A50,moduly_dodatkowe[],2,FALSE)</f>
        <v>165</v>
      </c>
      <c r="E50" s="16" t="s">
        <v>4</v>
      </c>
      <c r="F50" s="17">
        <f t="shared" si="5"/>
        <v>0</v>
      </c>
      <c r="G50" s="100">
        <f t="shared" si="6"/>
        <v>0</v>
      </c>
    </row>
    <row r="51" spans="1:7" ht="15.6" x14ac:dyDescent="0.3">
      <c r="A51" s="235" t="s">
        <v>79</v>
      </c>
      <c r="B51" s="236"/>
      <c r="C51" s="199"/>
      <c r="D51" s="15">
        <f>VLOOKUP($A51,moduly_dodatkowe[],2,FALSE)</f>
        <v>171</v>
      </c>
      <c r="E51" s="16" t="s">
        <v>4</v>
      </c>
      <c r="F51" s="17">
        <f t="shared" si="5"/>
        <v>0</v>
      </c>
      <c r="G51" s="13">
        <f t="shared" si="6"/>
        <v>0</v>
      </c>
    </row>
    <row r="52" spans="1:7" ht="15.6" x14ac:dyDescent="0.3">
      <c r="A52" s="235" t="s">
        <v>40</v>
      </c>
      <c r="B52" s="236"/>
      <c r="C52" s="199"/>
      <c r="D52" s="15">
        <f>VLOOKUP($A52,moduly_dodatkowe[],2,FALSE)</f>
        <v>137</v>
      </c>
      <c r="E52" s="16" t="s">
        <v>4</v>
      </c>
      <c r="F52" s="17">
        <f t="shared" si="5"/>
        <v>0</v>
      </c>
      <c r="G52" s="13">
        <f t="shared" si="6"/>
        <v>0</v>
      </c>
    </row>
    <row r="53" spans="1:7" ht="15.6" x14ac:dyDescent="0.3">
      <c r="A53" s="235" t="s">
        <v>41</v>
      </c>
      <c r="B53" s="236"/>
      <c r="C53" s="199"/>
      <c r="D53" s="15">
        <f>VLOOKUP($A53,moduly_dodatkowe[],2,FALSE)</f>
        <v>151</v>
      </c>
      <c r="E53" s="16" t="s">
        <v>4</v>
      </c>
      <c r="F53" s="17">
        <f t="shared" si="5"/>
        <v>0</v>
      </c>
      <c r="G53" s="13">
        <f t="shared" si="6"/>
        <v>0</v>
      </c>
    </row>
    <row r="54" spans="1:7" ht="15.6" x14ac:dyDescent="0.3">
      <c r="A54" s="235" t="s">
        <v>42</v>
      </c>
      <c r="B54" s="236"/>
      <c r="C54" s="199"/>
      <c r="D54" s="15">
        <f>VLOOKUP($A54,moduly_dodatkowe[],2,FALSE)</f>
        <v>171</v>
      </c>
      <c r="E54" s="16" t="s">
        <v>4</v>
      </c>
      <c r="F54" s="17">
        <f t="shared" si="5"/>
        <v>0</v>
      </c>
      <c r="G54" s="13">
        <f t="shared" si="6"/>
        <v>0</v>
      </c>
    </row>
    <row r="55" spans="1:7" ht="15.6" x14ac:dyDescent="0.3">
      <c r="A55" s="235" t="s">
        <v>43</v>
      </c>
      <c r="B55" s="236"/>
      <c r="C55" s="199"/>
      <c r="D55" s="15">
        <f>VLOOKUP($A55,moduly_dodatkowe[],2,FALSE)</f>
        <v>103</v>
      </c>
      <c r="E55" s="16" t="s">
        <v>4</v>
      </c>
      <c r="F55" s="17">
        <f t="shared" si="5"/>
        <v>0</v>
      </c>
      <c r="G55" s="13">
        <f t="shared" si="6"/>
        <v>0</v>
      </c>
    </row>
    <row r="56" spans="1:7" ht="15.6" x14ac:dyDescent="0.3">
      <c r="A56" s="235" t="s">
        <v>44</v>
      </c>
      <c r="B56" s="236"/>
      <c r="C56" s="199"/>
      <c r="D56" s="15">
        <f>VLOOKUP($A56,moduly_dodatkowe[],2,FALSE)</f>
        <v>103</v>
      </c>
      <c r="E56" s="16" t="s">
        <v>4</v>
      </c>
      <c r="F56" s="17">
        <f t="shared" si="5"/>
        <v>0</v>
      </c>
      <c r="G56" s="13">
        <f t="shared" si="6"/>
        <v>0</v>
      </c>
    </row>
    <row r="57" spans="1:7" ht="15.6" x14ac:dyDescent="0.3">
      <c r="A57" s="235" t="s">
        <v>51</v>
      </c>
      <c r="B57" s="236"/>
      <c r="C57" s="199"/>
      <c r="D57" s="15">
        <f>VLOOKUP($A57,moduly_dodatkowe[],2,FALSE)</f>
        <v>50</v>
      </c>
      <c r="E57" s="16" t="s">
        <v>4</v>
      </c>
      <c r="F57" s="17">
        <f t="shared" si="5"/>
        <v>0</v>
      </c>
      <c r="G57" s="13">
        <f t="shared" si="6"/>
        <v>0</v>
      </c>
    </row>
    <row r="58" spans="1:7" ht="15.6" x14ac:dyDescent="0.3">
      <c r="A58" s="235" t="s">
        <v>90</v>
      </c>
      <c r="B58" s="236"/>
      <c r="C58" s="199"/>
      <c r="D58" s="15">
        <f>VLOOKUP($A58,moduly_dodatkowe[],2,FALSE)</f>
        <v>13</v>
      </c>
      <c r="E58" s="16" t="s">
        <v>4</v>
      </c>
      <c r="F58" s="17">
        <f t="shared" si="5"/>
        <v>0</v>
      </c>
      <c r="G58" s="13">
        <f t="shared" si="6"/>
        <v>0</v>
      </c>
    </row>
    <row r="59" spans="1:7" ht="15.6" x14ac:dyDescent="0.3">
      <c r="A59" s="235" t="s">
        <v>50</v>
      </c>
      <c r="B59" s="236"/>
      <c r="C59" s="199"/>
      <c r="D59" s="15">
        <f>VLOOKUP($A59,moduly_dodatkowe[],2,FALSE)</f>
        <v>137</v>
      </c>
      <c r="E59" s="16" t="s">
        <v>4</v>
      </c>
      <c r="F59" s="17">
        <f t="shared" si="5"/>
        <v>0</v>
      </c>
      <c r="G59" s="13">
        <f t="shared" si="6"/>
        <v>0</v>
      </c>
    </row>
    <row r="60" spans="1:7" ht="15.6" x14ac:dyDescent="0.3">
      <c r="A60" s="235" t="s">
        <v>83</v>
      </c>
      <c r="B60" s="236"/>
      <c r="C60" s="199"/>
      <c r="D60" s="15">
        <f>VLOOKUP($A60,moduly_dodatkowe[],2,FALSE)</f>
        <v>344</v>
      </c>
      <c r="E60" s="16" t="s">
        <v>4</v>
      </c>
      <c r="F60" s="17">
        <f t="shared" si="5"/>
        <v>0</v>
      </c>
      <c r="G60" s="13">
        <f t="shared" si="6"/>
        <v>0</v>
      </c>
    </row>
    <row r="61" spans="1:7" ht="15.6" x14ac:dyDescent="0.3">
      <c r="A61" s="235" t="s">
        <v>48</v>
      </c>
      <c r="B61" s="236"/>
      <c r="C61" s="199"/>
      <c r="D61" s="15">
        <f>VLOOKUP($A61,moduly_dodatkowe[],2,FALSE)</f>
        <v>62</v>
      </c>
      <c r="E61" s="16" t="s">
        <v>4</v>
      </c>
      <c r="F61" s="17">
        <f t="shared" si="5"/>
        <v>0</v>
      </c>
      <c r="G61" s="13">
        <f t="shared" si="6"/>
        <v>0</v>
      </c>
    </row>
    <row r="62" spans="1:7" ht="15.6" x14ac:dyDescent="0.3">
      <c r="A62" s="235" t="s">
        <v>49</v>
      </c>
      <c r="B62" s="236"/>
      <c r="C62" s="199"/>
      <c r="D62" s="15">
        <f>VLOOKUP($A62,moduly_dodatkowe[],2,FALSE)</f>
        <v>62</v>
      </c>
      <c r="E62" s="16" t="s">
        <v>4</v>
      </c>
      <c r="F62" s="17">
        <f t="shared" si="5"/>
        <v>0</v>
      </c>
      <c r="G62" s="13">
        <f t="shared" si="6"/>
        <v>0</v>
      </c>
    </row>
    <row r="63" spans="1:7" ht="15.6" x14ac:dyDescent="0.3">
      <c r="A63" s="235" t="s">
        <v>63</v>
      </c>
      <c r="B63" s="236"/>
      <c r="C63" s="199"/>
      <c r="D63" s="15">
        <f>VLOOKUP($A63,moduly_dodatkowe[],2,FALSE)</f>
        <v>137</v>
      </c>
      <c r="E63" s="16" t="s">
        <v>4</v>
      </c>
      <c r="F63" s="17">
        <f t="shared" si="5"/>
        <v>0</v>
      </c>
      <c r="G63" s="13">
        <f t="shared" si="6"/>
        <v>0</v>
      </c>
    </row>
    <row r="64" spans="1:7" ht="15.6" x14ac:dyDescent="0.3">
      <c r="A64" s="198" t="s">
        <v>245</v>
      </c>
      <c r="B64" s="199"/>
      <c r="C64" s="199"/>
      <c r="D64" s="15">
        <f>VLOOKUP($A64,moduly_dodatkowe[],2,FALSE)</f>
        <v>126</v>
      </c>
      <c r="E64" s="16" t="s">
        <v>4</v>
      </c>
      <c r="F64" s="17">
        <f t="shared" si="5"/>
        <v>0</v>
      </c>
      <c r="G64" s="13">
        <f t="shared" si="6"/>
        <v>0</v>
      </c>
    </row>
    <row r="65" spans="1:9" ht="15.6" x14ac:dyDescent="0.3">
      <c r="A65" s="235" t="s">
        <v>224</v>
      </c>
      <c r="B65" s="236"/>
      <c r="C65" s="199"/>
      <c r="D65" s="15"/>
      <c r="E65" s="16" t="s">
        <v>2</v>
      </c>
      <c r="F65" s="51" t="s">
        <v>62</v>
      </c>
      <c r="G65" s="13">
        <v>1</v>
      </c>
    </row>
    <row r="66" spans="1:9" ht="15.6" x14ac:dyDescent="0.3">
      <c r="A66" s="276" t="s">
        <v>11</v>
      </c>
      <c r="B66" s="277"/>
      <c r="C66" s="206"/>
      <c r="D66" s="34"/>
      <c r="E66" s="52"/>
      <c r="F66" s="35">
        <f>SUM(F41:F64)</f>
        <v>0</v>
      </c>
      <c r="G66" s="13">
        <f>IF(SUM(G41:G65)&gt;0,1,0)</f>
        <v>1</v>
      </c>
    </row>
    <row r="67" spans="1:9" ht="15.6" x14ac:dyDescent="0.3">
      <c r="A67" s="244" t="s">
        <v>30</v>
      </c>
      <c r="B67" s="240"/>
      <c r="C67" s="205"/>
      <c r="D67" s="60"/>
      <c r="E67" s="58"/>
      <c r="F67" s="61"/>
      <c r="G67" s="13">
        <f>IF(F71&gt;0,1,0)</f>
        <v>0</v>
      </c>
    </row>
    <row r="68" spans="1:9" ht="15.6" x14ac:dyDescent="0.3">
      <c r="A68" s="29"/>
      <c r="B68" s="262"/>
      <c r="C68" s="263"/>
      <c r="D68" s="19" t="s">
        <v>21</v>
      </c>
      <c r="E68" s="31" t="s">
        <v>19</v>
      </c>
      <c r="F68" s="17"/>
      <c r="G68" s="13">
        <f>IF(F71&gt;0,1,0)</f>
        <v>0</v>
      </c>
    </row>
    <row r="69" spans="1:9" ht="15.6" x14ac:dyDescent="0.3">
      <c r="A69" s="32" t="s">
        <v>17</v>
      </c>
      <c r="B69" s="257" t="s">
        <v>4</v>
      </c>
      <c r="C69" s="258"/>
      <c r="D69" s="15">
        <f>VLOOKUP($A69,tabele[],2,FALSE)</f>
        <v>25</v>
      </c>
      <c r="E69" s="16">
        <v>1</v>
      </c>
      <c r="F69" s="17">
        <f>IF(SUM(E$4:E$20)=0,IF(B69="TAK",D69*E69,0),IF(M$22=0,0,IF(B69="TAK",D69*E69,0)))</f>
        <v>0</v>
      </c>
      <c r="G69" s="13">
        <f t="shared" ref="G69:G71" si="7">IF(F69&gt;0,1,0)</f>
        <v>0</v>
      </c>
    </row>
    <row r="70" spans="1:9" ht="15.6" x14ac:dyDescent="0.3">
      <c r="A70" s="32" t="s">
        <v>18</v>
      </c>
      <c r="B70" s="257" t="s">
        <v>4</v>
      </c>
      <c r="C70" s="258"/>
      <c r="D70" s="15">
        <f>VLOOKUP($A70,tabele[],2,FALSE)</f>
        <v>50</v>
      </c>
      <c r="E70" s="16">
        <v>1</v>
      </c>
      <c r="F70" s="17">
        <f>IF(AND(B70="TAK",B69="tak"),(IF(E69&lt;5,"1..5 musi być 5",IF(SUM(E$4:E$20)=0,IF(B70="TAK",D70*E70,0),IF(M$22=0,0,IF(B70="TAK",D70*E70,0))))),0)</f>
        <v>0</v>
      </c>
      <c r="G70" s="13">
        <f t="shared" si="7"/>
        <v>0</v>
      </c>
    </row>
    <row r="71" spans="1:9" ht="15.6" x14ac:dyDescent="0.3">
      <c r="A71" s="36" t="s">
        <v>12</v>
      </c>
      <c r="B71" s="264"/>
      <c r="C71" s="261"/>
      <c r="D71" s="34"/>
      <c r="E71" s="33"/>
      <c r="F71" s="35">
        <f>SUM(F69:F70)</f>
        <v>0</v>
      </c>
      <c r="G71" s="13">
        <f t="shared" si="7"/>
        <v>0</v>
      </c>
    </row>
    <row r="72" spans="1:9" ht="15.6" x14ac:dyDescent="0.3">
      <c r="A72" s="37" t="s">
        <v>61</v>
      </c>
      <c r="B72" s="265"/>
      <c r="C72" s="266"/>
      <c r="D72" s="38"/>
      <c r="E72" s="38"/>
      <c r="F72" s="39">
        <f>F22+F25+F36+F39+F66+F71</f>
        <v>0</v>
      </c>
      <c r="G72" s="13">
        <f t="shared" si="2"/>
        <v>0</v>
      </c>
    </row>
    <row r="73" spans="1:9" ht="15.6" x14ac:dyDescent="0.3">
      <c r="A73" s="40"/>
      <c r="B73" s="257" t="s">
        <v>13</v>
      </c>
      <c r="C73" s="258"/>
      <c r="D73" s="94">
        <v>0</v>
      </c>
      <c r="E73" s="16" t="s">
        <v>4</v>
      </c>
      <c r="F73" s="95">
        <f>IF(E73="TAK",(F72*D73),0)</f>
        <v>0</v>
      </c>
      <c r="G73" s="13">
        <f t="shared" si="2"/>
        <v>0</v>
      </c>
    </row>
    <row r="74" spans="1:9" ht="15.6" x14ac:dyDescent="0.3">
      <c r="A74" s="41"/>
      <c r="B74" s="154" t="s">
        <v>14</v>
      </c>
      <c r="C74" s="154"/>
      <c r="D74" s="155"/>
      <c r="E74" s="155"/>
      <c r="F74" s="150">
        <f>F73</f>
        <v>0</v>
      </c>
      <c r="G74" s="13">
        <f t="shared" si="2"/>
        <v>0</v>
      </c>
    </row>
    <row r="75" spans="1:9" ht="15.6" x14ac:dyDescent="0.3">
      <c r="A75" s="244" t="s">
        <v>235</v>
      </c>
      <c r="B75" s="240"/>
      <c r="C75" s="205"/>
      <c r="D75" s="28"/>
      <c r="E75" s="108" t="s">
        <v>29</v>
      </c>
      <c r="F75" s="22"/>
      <c r="G75" s="13">
        <f t="shared" si="2"/>
        <v>0</v>
      </c>
    </row>
    <row r="76" spans="1:9" ht="15.6" x14ac:dyDescent="0.3">
      <c r="A76" s="32" t="s">
        <v>125</v>
      </c>
      <c r="B76" s="246" t="s">
        <v>234</v>
      </c>
      <c r="C76" s="247"/>
      <c r="D76" s="247"/>
      <c r="E76" s="247"/>
      <c r="F76" s="248"/>
      <c r="G76" s="13">
        <f t="shared" si="2"/>
        <v>0</v>
      </c>
      <c r="I76" s="166"/>
    </row>
    <row r="77" spans="1:9" ht="31.2" x14ac:dyDescent="0.3">
      <c r="A77" s="32" t="s">
        <v>126</v>
      </c>
      <c r="B77" s="267" t="s">
        <v>4</v>
      </c>
      <c r="C77" s="268"/>
      <c r="D77" s="15">
        <f>IF(E77="5 000 stron rocznie",'Cennik enova365'!B156,IF(E77="10 000 stron rocznie",'Cennik enova365'!B157,IF(E77="15 000 stron rocznie",'Cennik enova365'!B158,IF(E77="20 000 stron rocznie",'Cennik enova365'!B159,IF(E77="25 000 stron rocznie",'Cennik enova365'!B160,IF(E77="30 000 stron rocznie",'Cennik enova365'!B161,IF(E77="35 000 stron rocznie",'Cennik enova365'!B162,IF(E77="40 000 stron rocznie",'Cennik enova365'!B163,IF(E77="45 000 stron rocznie",'Cennik enova365'!B164,IF(E77="50 000 stron rocznie",'Cennik enova365'!B165,IF(E77="55 000 stron rocznie",'Cennik enova365'!B166,IF(E77="60 000 stron rocznie",'Cennik enova365'!B167,IF(E77="powyżej 60 000 stron rocznie",'Cennik enova365'!B168)))))))))))))</f>
        <v>934</v>
      </c>
      <c r="E77" s="111" t="s">
        <v>129</v>
      </c>
      <c r="F77" s="151">
        <f>IF(B77="TAK",D77,0)</f>
        <v>0</v>
      </c>
      <c r="G77" s="13">
        <f t="shared" si="2"/>
        <v>0</v>
      </c>
      <c r="I77" s="166" t="s">
        <v>238</v>
      </c>
    </row>
    <row r="78" spans="1:9" ht="15.6" x14ac:dyDescent="0.3">
      <c r="A78" s="252" t="s">
        <v>128</v>
      </c>
      <c r="B78" s="253"/>
      <c r="C78" s="254"/>
      <c r="D78" s="34"/>
      <c r="E78" s="33"/>
      <c r="F78" s="35">
        <f>SUM(F76:F77)</f>
        <v>0</v>
      </c>
      <c r="G78" s="13">
        <f t="shared" si="2"/>
        <v>0</v>
      </c>
    </row>
    <row r="79" spans="1:9" ht="15.6" x14ac:dyDescent="0.3">
      <c r="A79" s="64" t="s">
        <v>15</v>
      </c>
      <c r="B79" s="250"/>
      <c r="C79" s="251"/>
      <c r="D79" s="67"/>
      <c r="E79" s="67"/>
      <c r="F79" s="66">
        <f>F72-F74</f>
        <v>0</v>
      </c>
      <c r="G79" s="13">
        <f t="shared" si="2"/>
        <v>0</v>
      </c>
    </row>
    <row r="80" spans="1:9" ht="15.6" x14ac:dyDescent="0.3">
      <c r="A80" s="64" t="s">
        <v>16</v>
      </c>
      <c r="B80" s="255"/>
      <c r="C80" s="256"/>
      <c r="D80" s="65"/>
      <c r="E80" s="65"/>
      <c r="F80" s="66">
        <f>F79*1.23</f>
        <v>0</v>
      </c>
      <c r="G80" s="13">
        <f t="shared" si="2"/>
        <v>0</v>
      </c>
    </row>
    <row r="81" spans="1:7" x14ac:dyDescent="0.3">
      <c r="A81" s="42" t="s">
        <v>74</v>
      </c>
      <c r="B81" s="13"/>
      <c r="C81" s="13"/>
      <c r="D81" s="13"/>
      <c r="E81" s="13"/>
      <c r="F81" s="13"/>
      <c r="G81" s="13">
        <v>1</v>
      </c>
    </row>
    <row r="82" spans="1:7" x14ac:dyDescent="0.3">
      <c r="A82" s="42" t="s">
        <v>75</v>
      </c>
      <c r="B82" s="13"/>
      <c r="C82" s="13"/>
      <c r="D82" s="13"/>
      <c r="E82" s="13"/>
      <c r="F82" s="13"/>
      <c r="G82" s="13">
        <v>1</v>
      </c>
    </row>
    <row r="83" spans="1:7" x14ac:dyDescent="0.3">
      <c r="A83" s="44" t="s">
        <v>76</v>
      </c>
      <c r="B83" s="53"/>
      <c r="C83" s="13"/>
      <c r="D83" s="13"/>
      <c r="E83" s="13"/>
      <c r="F83" s="13"/>
      <c r="G83" s="13">
        <v>1</v>
      </c>
    </row>
    <row r="84" spans="1:7" x14ac:dyDescent="0.3">
      <c r="A84" s="13"/>
      <c r="B84" s="13"/>
      <c r="C84" s="13"/>
      <c r="D84" s="13"/>
      <c r="E84" s="13"/>
      <c r="F84" s="13"/>
      <c r="G84" s="13"/>
    </row>
    <row r="85" spans="1:7" ht="21" x14ac:dyDescent="0.3">
      <c r="A85" s="230" t="s">
        <v>193</v>
      </c>
      <c r="B85" s="231"/>
      <c r="C85" s="231"/>
      <c r="D85" s="231"/>
      <c r="E85" s="231"/>
      <c r="F85" s="231"/>
    </row>
    <row r="86" spans="1:7" ht="52.2" customHeight="1" x14ac:dyDescent="0.3">
      <c r="A86" s="242" t="s">
        <v>213</v>
      </c>
      <c r="B86" s="242"/>
      <c r="C86" s="242"/>
      <c r="D86" s="242"/>
      <c r="E86" s="242"/>
      <c r="F86" s="242"/>
    </row>
    <row r="87" spans="1:7" x14ac:dyDescent="0.3">
      <c r="A87" s="13"/>
    </row>
    <row r="88" spans="1:7" ht="23.4" x14ac:dyDescent="0.45">
      <c r="A88" s="243" t="s">
        <v>184</v>
      </c>
      <c r="B88" s="243"/>
      <c r="C88" s="243"/>
      <c r="D88" s="243"/>
      <c r="E88" s="243"/>
      <c r="F88" s="243"/>
    </row>
  </sheetData>
  <autoFilter ref="G2:G96" xr:uid="{00000000-0009-0000-0000-000001000000}"/>
  <dataConsolidate/>
  <mergeCells count="79">
    <mergeCell ref="A43:B43"/>
    <mergeCell ref="B76:F76"/>
    <mergeCell ref="B32:C32"/>
    <mergeCell ref="A57:B57"/>
    <mergeCell ref="A49:B49"/>
    <mergeCell ref="A48:B48"/>
    <mergeCell ref="A58:B58"/>
    <mergeCell ref="A34:B34"/>
    <mergeCell ref="A37:B37"/>
    <mergeCell ref="A40:B40"/>
    <mergeCell ref="A36:C36"/>
    <mergeCell ref="A51:B51"/>
    <mergeCell ref="B35:C35"/>
    <mergeCell ref="A45:B45"/>
    <mergeCell ref="A46:B46"/>
    <mergeCell ref="A59:B59"/>
    <mergeCell ref="A52:B52"/>
    <mergeCell ref="A53:B53"/>
    <mergeCell ref="A54:B54"/>
    <mergeCell ref="A55:B55"/>
    <mergeCell ref="A56:B56"/>
    <mergeCell ref="A1:F1"/>
    <mergeCell ref="A3:D3"/>
    <mergeCell ref="A86:F86"/>
    <mergeCell ref="A88:F88"/>
    <mergeCell ref="A85:F85"/>
    <mergeCell ref="A75:B75"/>
    <mergeCell ref="A67:B67"/>
    <mergeCell ref="A66:B66"/>
    <mergeCell ref="A65:B65"/>
    <mergeCell ref="A60:B60"/>
    <mergeCell ref="A61:B61"/>
    <mergeCell ref="A62:B62"/>
    <mergeCell ref="A63:B63"/>
    <mergeCell ref="A23:B23"/>
    <mergeCell ref="B15:C15"/>
    <mergeCell ref="A44:B44"/>
    <mergeCell ref="B16:C16"/>
    <mergeCell ref="B17:C17"/>
    <mergeCell ref="B18:C18"/>
    <mergeCell ref="B19:C19"/>
    <mergeCell ref="B8:C8"/>
    <mergeCell ref="B9:C9"/>
    <mergeCell ref="B10:C10"/>
    <mergeCell ref="B11:C11"/>
    <mergeCell ref="B12:C12"/>
    <mergeCell ref="B13:C13"/>
    <mergeCell ref="B14:C14"/>
    <mergeCell ref="B2:C2"/>
    <mergeCell ref="B4:C4"/>
    <mergeCell ref="B5:C5"/>
    <mergeCell ref="B6:C6"/>
    <mergeCell ref="B7:C7"/>
    <mergeCell ref="A42:B42"/>
    <mergeCell ref="B20:C20"/>
    <mergeCell ref="B24:C24"/>
    <mergeCell ref="B27:C27"/>
    <mergeCell ref="B28:C28"/>
    <mergeCell ref="B29:C29"/>
    <mergeCell ref="A22:C22"/>
    <mergeCell ref="A25:C25"/>
    <mergeCell ref="A26:B26"/>
    <mergeCell ref="A41:B41"/>
    <mergeCell ref="A50:C50"/>
    <mergeCell ref="B79:C79"/>
    <mergeCell ref="A78:C78"/>
    <mergeCell ref="B80:C80"/>
    <mergeCell ref="B21:C21"/>
    <mergeCell ref="A33:C33"/>
    <mergeCell ref="A39:C39"/>
    <mergeCell ref="B68:C68"/>
    <mergeCell ref="B71:C71"/>
    <mergeCell ref="B72:C72"/>
    <mergeCell ref="B69:C69"/>
    <mergeCell ref="B70:C70"/>
    <mergeCell ref="B73:C73"/>
    <mergeCell ref="B77:C77"/>
    <mergeCell ref="B30:C30"/>
    <mergeCell ref="B31:C31"/>
  </mergeCells>
  <dataValidations xWindow="334" yWindow="584" count="13">
    <dataValidation allowBlank="1" showInputMessage="1" showErrorMessage="1" prompt="wpisz liczbę baz" sqref="E35" xr:uid="{00000000-0002-0000-0100-000000000000}"/>
    <dataValidation allowBlank="1" showInputMessage="1" showErrorMessage="1" prompt="wpisz maksymalną liczbę kierowników z największej bazy,_x000a_PRZYKŁAD:_x000a_P.Kierownika będzie użytkowny w 2 bazach:_x000a_w 1. - 5 dostępów, w 2. - 3 dostępy_x000a_zatem wpisujemy 5" sqref="E28" xr:uid="{00000000-0002-0000-0100-000001000000}"/>
    <dataValidation allowBlank="1" showErrorMessage="1" prompt="zaznacz odpowiednią opcję" sqref="E65" xr:uid="{00000000-0002-0000-0100-000002000000}"/>
    <dataValidation allowBlank="1" showInputMessage="1" showErrorMessage="1" prompt="wymaga: Ewidencji Środków pieniężnych, dowolny moduł samodzielny min. w wersji srebrnej (patrz powyżej zaznaczone na zielono)" sqref="E19" xr:uid="{00000000-0002-0000-0100-000003000000}"/>
    <dataValidation allowBlank="1" showInputMessage="1" showErrorMessage="1" promptTitle="Wartość wyliczy się samodzielnie" prompt="pamiętaj, że cena jest zależna od łącznej liczby stanowisk modułów podstawowych, wprowadź je wszystkie" sqref="B24" xr:uid="{00000000-0002-0000-0100-000004000000}"/>
    <dataValidation type="list" allowBlank="1" showInputMessage="1" showErrorMessage="1" sqref="B38" xr:uid="{00000000-0002-0000-0100-000005000000}">
      <formula1>"TAK,NIE"</formula1>
    </dataValidation>
    <dataValidation allowBlank="1" showInputMessage="1" showErrorMessage="1" prompt="wpisz wartość rabatu" sqref="D73" xr:uid="{00000000-0002-0000-0100-000006000000}"/>
    <dataValidation allowBlank="1" showInputMessage="1" showErrorMessage="1" prompt="można dokupić jeżeli na licencji jest już min. jedno stanowsiko dowolnego modułu samodzielnego min. w wersji srebrnej (patrz powyżej zaznaczone na zielono)" sqref="E8" xr:uid="{00000000-0002-0000-0100-000007000000}"/>
    <dataValidation allowBlank="1" showInputMessage="1" showErrorMessage="1" prompt="na licencji musi być inny, dowolny moduł, którego działanie chcemy oprocesować" sqref="E15" xr:uid="{00000000-0002-0000-0100-000008000000}"/>
    <dataValidation allowBlank="1" showInputMessage="1" showErrorMessage="1" prompt="Wymaga modułów: _x000a_Workflow platyna_x000a_DMS platyna _x000a_Harmonogram Zadań_x000a_Integracja OCR" sqref="A76" xr:uid="{D39DE58A-46F5-4CD0-B6E3-70E4D06B6E9E}"/>
    <dataValidation allowBlank="1" showInputMessage="1" showErrorMessage="1" prompt="wpisz liczbę stanowisk" sqref="E4" xr:uid="{499033A8-BFCF-4F6C-A89B-385FB31FB977}"/>
    <dataValidation allowBlank="1" showInputMessage="1" showErrorMessage="1" prompt="wymaga min. jednego modułu pozwalającego_x000a_generować dokumenty sprzedaży (generujące_x000a_należności – Faktury/Handel, Księga Podatkowa_x000a_oraz Księga Handlowa)" sqref="E9" xr:uid="{C1F48BCE-AEAE-42B9-9597-227B3D3A87E8}"/>
    <dataValidation allowBlank="1" showInputMessage="1" showErrorMessage="1" prompt="dowolny moduł, który chcemy &quot;poglądać&quot;" sqref="E18" xr:uid="{ED0C660D-362F-430F-B174-8FE5A7580F79}"/>
  </dataValidations>
  <hyperlinks>
    <hyperlink ref="A88:F88" r:id="rId1" display="Formularz oferty wyceny usługi enova365 IaaS &gt;" xr:uid="{00000000-0004-0000-0100-000000000000}"/>
    <hyperlink ref="B76:F76" r:id="rId2" display="cennik dostępny jest w Bazie Wiedzy" xr:uid="{0641D825-6450-4B8E-9D06-C49DBE1144A1}"/>
  </hyperlinks>
  <pageMargins left="0.7" right="0.7" top="0.75" bottom="0.75" header="0.3" footer="0.3"/>
  <pageSetup paperSize="9" orientation="portrait" r:id="rId3"/>
  <ignoredErrors>
    <ignoredError sqref="G68 G37 F23 G31 D17 F28 G23:G28 G33:G34" formula="1"/>
  </ignoredErrors>
  <extLst>
    <ext xmlns:x14="http://schemas.microsoft.com/office/spreadsheetml/2009/9/main" uri="{CCE6A557-97BC-4b89-ADB6-D9C93CAAB3DF}">
      <x14:dataValidations xmlns:xm="http://schemas.microsoft.com/office/excel/2006/main" xWindow="334" yWindow="584" count="27">
        <x14:dataValidation type="list" allowBlank="1" showInputMessage="1" showErrorMessage="1" xr:uid="{00000000-0002-0000-0100-000009000000}">
          <x14:formula1>
            <xm:f>'Cennik enova365'!$I$14:$I$15</xm:f>
          </x14:formula1>
          <xm:sqref>E73 B35 B69:B70</xm:sqref>
        </x14:dataValidation>
        <x14:dataValidation type="list" allowBlank="1" showInputMessage="1" showErrorMessage="1" prompt="dowolny moduł min. w wersji złotej_x000a_(przynajmniej jedno, dowolne stanowsiko w ramach licencji Klienta musi być złote)" xr:uid="{00000000-0002-0000-0100-00000B000000}">
          <x14:formula1>
            <xm:f>'Cennik enova365'!$I$14:$I$15</xm:f>
          </x14:formula1>
          <xm:sqref>E61 E63:E64</xm:sqref>
        </x14:dataValidation>
        <x14:dataValidation type="list" allowBlank="1" showInputMessage="1" showErrorMessage="1" prompt="wybierz wersję" xr:uid="{00000000-0002-0000-0100-00000D000000}">
          <x14:formula1>
            <xm:f>'Cennik enova365'!$I$3:$I$5</xm:f>
          </x14:formula1>
          <xm:sqref>B18:B21 B4:B16</xm:sqref>
        </x14:dataValidation>
        <x14:dataValidation type="list" allowBlank="1" showInputMessage="1" showErrorMessage="1" prompt="Wybierz ilość" xr:uid="{00000000-0002-0000-0100-00000E000000}">
          <x14:formula1>
            <xm:f>'Cennik enova365'!$I$18:$I$22</xm:f>
          </x14:formula1>
          <xm:sqref>E69</xm:sqref>
        </x14:dataValidation>
        <x14:dataValidation type="list" allowBlank="1" showInputMessage="1" showErrorMessage="1" prompt="wskaż przedział (ilu klientów biura ma korzystać z tego Pulpitu)" xr:uid="{00000000-0002-0000-0100-00000F000000}">
          <x14:formula1>
            <xm:f>'Cennik enova365'!$A$118:$A$122</xm:f>
          </x14:formula1>
          <xm:sqref>E38</xm:sqref>
        </x14:dataValidation>
        <x14:dataValidation type="list" allowBlank="1" showInputMessage="1" showErrorMessage="1" prompt="wymaga:_x000a_Księga Handlowa min. złota_x000a_lub Księga Podatkowa" xr:uid="{00000000-0002-0000-0100-000010000000}">
          <x14:formula1>
            <xm:f>'Cennik enova365'!$I$14:$I$15</xm:f>
          </x14:formula1>
          <xm:sqref>E55:E56</xm:sqref>
        </x14:dataValidation>
        <x14:dataValidation type="list" allowBlank="1" showInputMessage="1" showErrorMessage="1" prompt="wymaga:_x000a_Faktury min. srebrne_x000a_lub Handel min. srebrny" xr:uid="{00000000-0002-0000-0100-000011000000}">
          <x14:formula1>
            <xm:f>'Cennik enova365'!$I$14:$I$15</xm:f>
          </x14:formula1>
          <xm:sqref>E59</xm:sqref>
        </x14:dataValidation>
        <x14:dataValidation type="list" allowBlank="1" showInputMessage="1" showErrorMessage="1" prompt="dowolny moduł min. w wersji srebrnej" xr:uid="{00000000-0002-0000-0100-000012000000}">
          <x14:formula1>
            <xm:f>'Cennik enova365'!$I$14:$I$15</xm:f>
          </x14:formula1>
          <xm:sqref>E58</xm:sqref>
        </x14:dataValidation>
        <x14:dataValidation type="list" allowBlank="1" showInputMessage="1" showErrorMessage="1" prompt="wymaga:_x000a_Faktury min. srebrne_x000a_lub Handel min. srebrny_x000a_" xr:uid="{00000000-0002-0000-0100-000013000000}">
          <x14:formula1>
            <xm:f>'Cennik enova365'!$I$14:$I$15</xm:f>
          </x14:formula1>
          <xm:sqref>E57</xm:sqref>
        </x14:dataValidation>
        <x14:dataValidation type="list" allowBlank="1" showInputMessage="1" showErrorMessage="1" prompt="wymaga min. po 1 stanowisku modułów Kadry Płace w wariacie złotym lub platynowym oraz Handel w wariacie złotym lub platynowym" xr:uid="{00000000-0002-0000-0100-000015000000}">
          <x14:formula1>
            <xm:f>'Cennik enova365'!$I$14:$I$15</xm:f>
          </x14:formula1>
          <xm:sqref>E47</xm:sqref>
        </x14:dataValidation>
        <x14:dataValidation type="list" allowBlank="1" showInputMessage="1" showErrorMessage="1" prompt="wymaga:_x000a_CRM min. złoty_x000a_lub Projekty min. złote" xr:uid="{00000000-0002-0000-0100-000016000000}">
          <x14:formula1>
            <xm:f>'Cennik enova365'!$I$14:$I$15</xm:f>
          </x14:formula1>
          <xm:sqref>E62</xm:sqref>
        </x14:dataValidation>
        <x14:dataValidation type="list" allowBlank="1" showInputMessage="1" showErrorMessage="1" prompt="wybierz przedział" xr:uid="{00000000-0002-0000-0100-000019000000}">
          <x14:formula1>
            <xm:f>'Cennik enova365'!$A$92:$A$97</xm:f>
          </x14:formula1>
          <xm:sqref>E27</xm:sqref>
        </x14:dataValidation>
        <x14:dataValidation type="list" allowBlank="1" showInputMessage="1" showErrorMessage="1" prompt="dowolny moduł min. w wersji złotej_x000a_(przynajmniej jedno, dowolne stanowsiko w ramach licencji Klienta musi być multi)" xr:uid="{00000000-0002-0000-0100-00001A000000}">
          <x14:formula1>
            <xm:f>'Cennik enova365'!$I$14:$I$15</xm:f>
          </x14:formula1>
          <xm:sqref>E60</xm:sqref>
        </x14:dataValidation>
        <x14:dataValidation type="list" allowBlank="1" showInputMessage="1" showErrorMessage="1" prompt="wybierz przedział" xr:uid="{00000000-0002-0000-0100-00001B000000}">
          <x14:formula1>
            <xm:f>'Cennik enova365'!$A$110:$A$115</xm:f>
          </x14:formula1>
          <xm:sqref>E30:E32</xm:sqref>
        </x14:dataValidation>
        <x14:dataValidation type="list" allowBlank="1" showInputMessage="1" showErrorMessage="1" errorTitle="Wprowadź moduły podstawowe" error="wprowadź moduły podstawowe, wówczas paramerty BI uzupełnią się samodzielnie" promptTitle="Wartość wyliczy się samodzielnie" prompt="pamiętaj, że cena jest zależna od łącznej liczby stanowisk modułów podstawowych, wprowadź je wszystkie" xr:uid="{00000000-0002-0000-0100-00001C000000}">
          <x14:formula1>
            <xm:f>'Cennik enova365'!$I$14:$I$15</xm:f>
          </x14:formula1>
          <xm:sqref>E24</xm:sqref>
        </x14:dataValidation>
        <x14:dataValidation type="list" allowBlank="1" showInputMessage="1" showErrorMessage="1" prompt="wymaga: Ewidencji Środków pieniężnych, dowolny moduł samodzielny min. w wersji srebrnej (patrz powyżej zaznaczone na zielono)" xr:uid="{00000000-0002-0000-0100-00001F000000}">
          <x14:formula1>
            <xm:f>'Cennik enova365'!$I$14:$I$15</xm:f>
          </x14:formula1>
          <xm:sqref>E53:E54</xm:sqref>
        </x14:dataValidation>
        <x14:dataValidation type="list" allowBlank="1" showInputMessage="1" showErrorMessage="1" prompt="Wybierz wersję._x000a_W wersji rozszerzonej wymaga min. 1 stanowiska modułu Faktury od wersji srebrnej na licencji BR." xr:uid="{00000000-0002-0000-0100-000020000000}">
          <x14:formula1>
            <xm:f>'Cennik enova365'!$B$117:$C$117</xm:f>
          </x14:formula1>
          <xm:sqref>C38</xm:sqref>
        </x14:dataValidation>
        <x14:dataValidation type="list" allowBlank="1" showInputMessage="1" showErrorMessage="1" xr:uid="{00000000-0002-0000-0100-000021000000}">
          <x14:formula1>
            <xm:f>'Cennik enova365'!$I$27:$I$37</xm:f>
          </x14:formula1>
          <xm:sqref>E70</xm:sqref>
        </x14:dataValidation>
        <x14:dataValidation type="list" allowBlank="1" showInputMessage="1" showErrorMessage="1" prompt="wymaga min. po 1 stanowisku modułów Praca Hybrydowa w wariacie złotym lub platynowym, Kadry Płace w wariacie złotym lub platynowym oraz Pulpitu Pracownika" xr:uid="{00000000-0002-0000-0100-000022000000}">
          <x14:formula1>
            <xm:f>'Cennik enova365'!$I$14:$I$15</xm:f>
          </x14:formula1>
          <xm:sqref>B32:C32</xm:sqref>
        </x14:dataValidation>
        <x14:dataValidation type="list" allowBlank="1" showInputMessage="1" showErrorMessage="1" prompt="wymaga modułu BI oraz innego Pulpitu" xr:uid="{00000000-0002-0000-0100-000023000000}">
          <x14:formula1>
            <xm:f>'Cennik enova365'!$I$14:$I$15</xm:f>
          </x14:formula1>
          <xm:sqref>B31:C31</xm:sqref>
        </x14:dataValidation>
        <x14:dataValidation type="list" allowBlank="1" showInputMessage="1" showErrorMessage="1" prompt="abonament roczny, przedział musi być zgodny z przedziałem licecnji ABBYY FlexiCapture Distributed for Invoices " xr:uid="{AD3A0979-2272-4EE2-8E12-4ED20579B2DD}">
          <x14:formula1>
            <xm:f>'Cennik enova365'!$I$14:$I$15</xm:f>
          </x14:formula1>
          <xm:sqref>B77:C77</xm:sqref>
        </x14:dataValidation>
        <x14:dataValidation type="list" allowBlank="1" showInputMessage="1" showErrorMessage="1" prompt="abonament roczny, przedział musi być zgodny z przedziałem licecnji ABBYY FlexiCapture Distributed for Invoices " xr:uid="{E4387E80-CC7F-4AAC-9783-58F2F0CD01B2}">
          <x14:formula1>
            <xm:f>'Cennik enova365'!$A$156:$A$168</xm:f>
          </x14:formula1>
          <xm:sqref>E77</xm:sqref>
        </x14:dataValidation>
        <x14:dataValidation type="list" allowBlank="1" showInputMessage="1" showErrorMessage="1" prompt="wymaga min. 1 stanowiska modułu Kadry Płace w wariacie złotym lub platynowym" xr:uid="{A84701D4-3BB0-4548-9CB3-AE399D394C28}">
          <x14:formula1>
            <xm:f>'Cennik enova365'!$I$14:$I$15</xm:f>
          </x14:formula1>
          <xm:sqref>B27:C27 E41:E46 E48:E50</xm:sqref>
        </x14:dataValidation>
        <x14:dataValidation type="list" allowBlank="1" showInputMessage="1" showErrorMessage="1" prompt="wymaga Pulpitu Pracownika oraz min. 1 stanowiska modułu Kadry Płace w wariacie złotym lub platynowym_x000a_" xr:uid="{D4011E8F-9F15-4580-A81C-78B2D2546266}">
          <x14:formula1>
            <xm:f>'Cennik enova365'!$I$14:$I$15</xm:f>
          </x14:formula1>
          <xm:sqref>B28:C28</xm:sqref>
        </x14:dataValidation>
        <x14:dataValidation type="list" allowBlank="1" showInputMessage="1" showErrorMessage="1" prompt="wymagany Pulpit Pracownika" xr:uid="{EF9458F9-F865-499E-907D-A30A7BF0916E}">
          <x14:formula1>
            <xm:f>'Cennik enova365'!$I$14:$I$15</xm:f>
          </x14:formula1>
          <xm:sqref>B29:C29</xm:sqref>
        </x14:dataValidation>
        <x14:dataValidation type="list" allowBlank="1" showInputMessage="1" showErrorMessage="1" prompt="wymaga min. 1 stanowiska modułu Workflow w wariacie platynowym oraz innego Pulpitu" xr:uid="{BDA10C2C-CC5D-49A2-BA9E-1646AD10BAAC}">
          <x14:formula1>
            <xm:f>'Cennik enova365'!$I$14:$I$15</xm:f>
          </x14:formula1>
          <xm:sqref>B30:C30</xm:sqref>
        </x14:dataValidation>
        <x14:dataValidation type="list" allowBlank="1" showInputMessage="1" showErrorMessage="1" prompt="wymaga min. 1 stanowiska modułu Księga Handlowa w wariancie złotym lub platynowym" xr:uid="{9850A2C5-ED6D-4173-9C8D-63600E305CA3}">
          <x14:formula1>
            <xm:f>'Cennik enova365'!$I$14:$I$15</xm:f>
          </x14:formula1>
          <xm:sqref>E51:E52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9"/>
  <sheetViews>
    <sheetView zoomScale="80" zoomScaleNormal="80" workbookViewId="0">
      <selection activeCell="U30" sqref="U30"/>
    </sheetView>
  </sheetViews>
  <sheetFormatPr defaultColWidth="9.109375" defaultRowHeight="14.4" x14ac:dyDescent="0.3"/>
  <cols>
    <col min="1" max="1" width="52.6640625" customWidth="1"/>
    <col min="2" max="2" width="15.33203125" customWidth="1"/>
    <col min="3" max="3" width="14.33203125" customWidth="1"/>
    <col min="4" max="4" width="17.33203125" customWidth="1"/>
    <col min="5" max="5" width="19.109375" customWidth="1"/>
    <col min="6" max="6" width="20" customWidth="1"/>
    <col min="7" max="7" width="11.44140625" customWidth="1"/>
    <col min="9" max="9" width="86.88671875" customWidth="1"/>
    <col min="10" max="10" width="12.6640625" hidden="1" customWidth="1"/>
    <col min="11" max="11" width="9.109375" hidden="1" customWidth="1"/>
    <col min="12" max="13" width="2" hidden="1" customWidth="1"/>
    <col min="14" max="14" width="9.109375" hidden="1" customWidth="1"/>
    <col min="15" max="16" width="0" hidden="1" customWidth="1"/>
  </cols>
  <sheetData>
    <row r="1" spans="1:12" ht="21" x14ac:dyDescent="0.3">
      <c r="A1" s="230" t="s">
        <v>185</v>
      </c>
      <c r="B1" s="231"/>
      <c r="C1" s="231"/>
      <c r="D1" s="231"/>
      <c r="E1" s="231"/>
      <c r="F1" s="231"/>
    </row>
    <row r="2" spans="1:12" ht="78" x14ac:dyDescent="0.3">
      <c r="A2" s="6" t="s">
        <v>7</v>
      </c>
      <c r="B2" s="272" t="s">
        <v>52</v>
      </c>
      <c r="C2" s="273"/>
      <c r="D2" s="8" t="s">
        <v>78</v>
      </c>
      <c r="E2" s="9" t="s">
        <v>136</v>
      </c>
      <c r="F2" s="10" t="s">
        <v>9</v>
      </c>
      <c r="G2" s="87" t="s">
        <v>20</v>
      </c>
      <c r="I2" s="161" t="s">
        <v>138</v>
      </c>
    </row>
    <row r="3" spans="1:12" ht="15.6" x14ac:dyDescent="0.3">
      <c r="A3" s="227" t="s">
        <v>141</v>
      </c>
      <c r="B3" s="228"/>
      <c r="C3" s="228"/>
      <c r="D3" s="228"/>
      <c r="E3" s="54"/>
      <c r="F3" s="55"/>
      <c r="G3" s="13">
        <f>IF(F22&gt;0,1,0)</f>
        <v>0</v>
      </c>
    </row>
    <row r="4" spans="1:12" ht="15.6" x14ac:dyDescent="0.3">
      <c r="A4" s="159" t="s">
        <v>116</v>
      </c>
      <c r="B4" s="257" t="s">
        <v>5</v>
      </c>
      <c r="C4" s="258"/>
      <c r="D4" s="15">
        <f>VLOOKUP($A4,moduly_podstawowe_BR[],4,FALSE)</f>
        <v>452</v>
      </c>
      <c r="E4" s="16">
        <v>0</v>
      </c>
      <c r="F4" s="17">
        <f>E4*D4</f>
        <v>0</v>
      </c>
      <c r="G4" s="13">
        <f>IF(F4&gt;0,1,0)</f>
        <v>0</v>
      </c>
    </row>
    <row r="5" spans="1:12" ht="15.6" customHeight="1" x14ac:dyDescent="0.3">
      <c r="A5" s="159" t="s">
        <v>117</v>
      </c>
      <c r="B5" s="257" t="s">
        <v>5</v>
      </c>
      <c r="C5" s="258"/>
      <c r="D5" s="15">
        <f>VLOOKUP($A5,moduly_podstawowe_BR[],4,FALSE)</f>
        <v>88</v>
      </c>
      <c r="E5" s="16">
        <v>0</v>
      </c>
      <c r="F5" s="17">
        <f t="shared" ref="F5:F16" si="0">E5*D5</f>
        <v>0</v>
      </c>
      <c r="G5" s="13">
        <f t="shared" ref="G5:G81" si="1">IF(F5&gt;0,1,0)</f>
        <v>0</v>
      </c>
      <c r="I5" s="161"/>
      <c r="J5" s="161"/>
      <c r="K5" s="161"/>
      <c r="L5" s="161"/>
    </row>
    <row r="6" spans="1:12" ht="15.6" x14ac:dyDescent="0.3">
      <c r="A6" s="159" t="s">
        <v>118</v>
      </c>
      <c r="B6" s="257" t="s">
        <v>5</v>
      </c>
      <c r="C6" s="258"/>
      <c r="D6" s="15">
        <f>VLOOKUP($A6,moduly_podstawowe_BR[],4,FALSE)</f>
        <v>412</v>
      </c>
      <c r="E6" s="16">
        <v>0</v>
      </c>
      <c r="F6" s="17">
        <f t="shared" si="0"/>
        <v>0</v>
      </c>
      <c r="G6" s="13">
        <f t="shared" si="1"/>
        <v>0</v>
      </c>
      <c r="I6" s="161"/>
      <c r="J6" s="161"/>
      <c r="K6" s="161"/>
      <c r="L6" s="161"/>
    </row>
    <row r="7" spans="1:12" ht="15.6" x14ac:dyDescent="0.3">
      <c r="A7" s="159" t="s">
        <v>119</v>
      </c>
      <c r="B7" s="257" t="s">
        <v>5</v>
      </c>
      <c r="C7" s="258"/>
      <c r="D7" s="15">
        <f>VLOOKUP($A7,moduly_podstawowe_BR[],4,FALSE)</f>
        <v>209</v>
      </c>
      <c r="E7" s="16">
        <v>0</v>
      </c>
      <c r="F7" s="17">
        <f t="shared" si="0"/>
        <v>0</v>
      </c>
      <c r="G7" s="13">
        <f t="shared" si="1"/>
        <v>0</v>
      </c>
      <c r="I7" s="167" t="str">
        <f>IF(B7="platyna"," ",IF(AND(E5+#REF!&gt;0,E6+#REF!&gt;0,B7&lt;&gt;B6),"w tej konfiguracji Ks. Inwentarzowa musi mieć taki sam kolor jak Ks. Handlowa",IF(E7+#REF!=0," ",IF(AND(E6+#REF!&gt;0,B7&lt;&gt;B6),"Ks. Inwentarzowa musi mieć taki sam kolor jak Ks. Handlowa",IF(AND(E5+#REF!&gt;0,E6+#REF!=0,B5&lt;&gt;B7),"Ks. Inwentarzowa musi mieć taki sam kolor jak Ks. Podatkowa"," ")))))</f>
        <v xml:space="preserve"> </v>
      </c>
      <c r="J7" s="161"/>
      <c r="K7" s="161"/>
      <c r="L7" s="161"/>
    </row>
    <row r="8" spans="1:12" ht="31.2" x14ac:dyDescent="0.3">
      <c r="A8" s="126" t="s">
        <v>98</v>
      </c>
      <c r="B8" s="257" t="s">
        <v>5</v>
      </c>
      <c r="C8" s="258"/>
      <c r="D8" s="15">
        <f>VLOOKUP($A8,moduly_podstawowe_BR[],4,FALSE)</f>
        <v>36</v>
      </c>
      <c r="E8" s="16">
        <v>0</v>
      </c>
      <c r="F8" s="17">
        <f t="shared" si="0"/>
        <v>0</v>
      </c>
      <c r="G8" s="13">
        <f t="shared" si="1"/>
        <v>0</v>
      </c>
      <c r="I8" s="161"/>
      <c r="J8" s="161"/>
      <c r="K8" s="161"/>
      <c r="L8" s="161"/>
    </row>
    <row r="9" spans="1:12" ht="15.6" x14ac:dyDescent="0.3">
      <c r="A9" s="126" t="s">
        <v>82</v>
      </c>
      <c r="B9" s="257" t="s">
        <v>5</v>
      </c>
      <c r="C9" s="258"/>
      <c r="D9" s="15">
        <f>VLOOKUP($A9,moduly_podstawowe_BR[],4,FALSE)</f>
        <v>81</v>
      </c>
      <c r="E9" s="16">
        <v>0</v>
      </c>
      <c r="F9" s="17">
        <f t="shared" si="0"/>
        <v>0</v>
      </c>
      <c r="G9" s="13">
        <f t="shared" si="1"/>
        <v>0</v>
      </c>
      <c r="I9" s="161"/>
      <c r="J9" s="161"/>
      <c r="K9" s="161"/>
      <c r="L9" s="161"/>
    </row>
    <row r="10" spans="1:12" ht="15.6" x14ac:dyDescent="0.3">
      <c r="A10" s="159" t="s">
        <v>93</v>
      </c>
      <c r="B10" s="257" t="s">
        <v>5</v>
      </c>
      <c r="C10" s="258"/>
      <c r="D10" s="15">
        <f>VLOOKUP($A10,moduly_podstawowe_BR[],4,FALSE)</f>
        <v>125</v>
      </c>
      <c r="E10" s="16">
        <v>0</v>
      </c>
      <c r="F10" s="17">
        <f t="shared" si="0"/>
        <v>0</v>
      </c>
      <c r="G10" s="13">
        <f t="shared" si="1"/>
        <v>0</v>
      </c>
    </row>
    <row r="11" spans="1:12" ht="15.6" x14ac:dyDescent="0.3">
      <c r="A11" s="159" t="s">
        <v>160</v>
      </c>
      <c r="B11" s="257" t="s">
        <v>5</v>
      </c>
      <c r="C11" s="258"/>
      <c r="D11" s="15">
        <f>VLOOKUP($A11,moduly_podstawowe_BR[],4,FALSE)</f>
        <v>215</v>
      </c>
      <c r="E11" s="16">
        <v>0</v>
      </c>
      <c r="F11" s="17">
        <f t="shared" si="0"/>
        <v>0</v>
      </c>
      <c r="G11" s="13">
        <f t="shared" si="1"/>
        <v>0</v>
      </c>
      <c r="I11" s="218" t="str">
        <f>IF(E11+F11&gt;0,"zawiera pełną funcjonalność e-mail"," ")</f>
        <v xml:space="preserve"> </v>
      </c>
    </row>
    <row r="12" spans="1:12" ht="15.6" x14ac:dyDescent="0.3">
      <c r="A12" s="159" t="s">
        <v>161</v>
      </c>
      <c r="B12" s="257" t="s">
        <v>5</v>
      </c>
      <c r="C12" s="258"/>
      <c r="D12" s="15">
        <f>VLOOKUP($A12,moduly_podstawowe_BR[],4,FALSE)</f>
        <v>380</v>
      </c>
      <c r="E12" s="16">
        <v>0</v>
      </c>
      <c r="F12" s="17">
        <f t="shared" si="0"/>
        <v>0</v>
      </c>
      <c r="G12" s="13">
        <f t="shared" si="1"/>
        <v>0</v>
      </c>
    </row>
    <row r="13" spans="1:12" ht="15.6" x14ac:dyDescent="0.3">
      <c r="A13" s="159" t="s">
        <v>248</v>
      </c>
      <c r="B13" s="257" t="s">
        <v>5</v>
      </c>
      <c r="C13" s="258"/>
      <c r="D13" s="15">
        <f>VLOOKUP($A13,moduly_podstawowe_BR[],4,FALSE)</f>
        <v>436</v>
      </c>
      <c r="E13" s="16">
        <v>0</v>
      </c>
      <c r="F13" s="17">
        <f t="shared" si="0"/>
        <v>0</v>
      </c>
      <c r="G13" s="13">
        <f t="shared" si="1"/>
        <v>0</v>
      </c>
    </row>
    <row r="14" spans="1:12" ht="15.6" x14ac:dyDescent="0.3">
      <c r="A14" s="159" t="s">
        <v>252</v>
      </c>
      <c r="B14" s="257" t="s">
        <v>5</v>
      </c>
      <c r="C14" s="258"/>
      <c r="D14" s="15">
        <f>VLOOKUP($A14,moduly_podstawowe_BR[],4,FALSE)</f>
        <v>175</v>
      </c>
      <c r="E14" s="16">
        <v>0</v>
      </c>
      <c r="F14" s="17">
        <f t="shared" si="0"/>
        <v>0</v>
      </c>
      <c r="G14" s="13">
        <f t="shared" si="1"/>
        <v>0</v>
      </c>
    </row>
    <row r="15" spans="1:12" ht="15.6" x14ac:dyDescent="0.3">
      <c r="A15" s="32" t="s">
        <v>120</v>
      </c>
      <c r="B15" s="257" t="s">
        <v>5</v>
      </c>
      <c r="C15" s="258"/>
      <c r="D15" s="15">
        <f>VLOOKUP($A15,moduly_podstawowe_BR[],4,FALSE)</f>
        <v>37</v>
      </c>
      <c r="E15" s="16">
        <v>0</v>
      </c>
      <c r="F15" s="17">
        <f t="shared" si="0"/>
        <v>0</v>
      </c>
      <c r="G15" s="13">
        <f t="shared" si="1"/>
        <v>0</v>
      </c>
    </row>
    <row r="16" spans="1:12" ht="15.6" x14ac:dyDescent="0.3">
      <c r="A16" s="32" t="s">
        <v>121</v>
      </c>
      <c r="B16" s="257" t="s">
        <v>5</v>
      </c>
      <c r="C16" s="258"/>
      <c r="D16" s="15">
        <f>VLOOKUP($A16,moduly_podstawowe_BR[],4,FALSE)</f>
        <v>29</v>
      </c>
      <c r="E16" s="16">
        <v>0</v>
      </c>
      <c r="F16" s="17">
        <f t="shared" si="0"/>
        <v>0</v>
      </c>
      <c r="G16" s="13">
        <f t="shared" si="1"/>
        <v>0</v>
      </c>
      <c r="J16" s="116"/>
    </row>
    <row r="17" spans="1:11" ht="15.6" x14ac:dyDescent="0.3">
      <c r="A17" s="32" t="s">
        <v>122</v>
      </c>
      <c r="B17" s="274"/>
      <c r="C17" s="275"/>
      <c r="D17" s="15">
        <f>VLOOKUP($A17,moduly_podstawowe_BR[],4,FALSE)</f>
        <v>181</v>
      </c>
      <c r="E17" s="15"/>
      <c r="F17" s="17">
        <f>IF(OR((AND(B15="platyna",E15&gt;0)),E16&gt;0),D17,0)</f>
        <v>0</v>
      </c>
      <c r="G17" s="13">
        <f t="shared" si="1"/>
        <v>0</v>
      </c>
      <c r="J17" s="116"/>
    </row>
    <row r="18" spans="1:11" ht="15.6" x14ac:dyDescent="0.3">
      <c r="A18" s="32" t="s">
        <v>162</v>
      </c>
      <c r="B18" s="257" t="s">
        <v>5</v>
      </c>
      <c r="C18" s="258"/>
      <c r="D18" s="15">
        <f>VLOOKUP($A18,moduly_podstawowe_BR[],4,FALSE)</f>
        <v>126</v>
      </c>
      <c r="E18" s="16">
        <v>0</v>
      </c>
      <c r="F18" s="17">
        <f>E18*D18</f>
        <v>0</v>
      </c>
      <c r="G18" s="13">
        <f t="shared" si="1"/>
        <v>0</v>
      </c>
      <c r="J18" s="116"/>
    </row>
    <row r="19" spans="1:11" ht="15.6" x14ac:dyDescent="0.3">
      <c r="A19" s="32" t="s">
        <v>123</v>
      </c>
      <c r="B19" s="257" t="s">
        <v>5</v>
      </c>
      <c r="C19" s="258"/>
      <c r="D19" s="15">
        <f>VLOOKUP($A19,moduly_podstawowe_BR[],4,FALSE)</f>
        <v>337</v>
      </c>
      <c r="E19" s="16">
        <v>0</v>
      </c>
      <c r="F19" s="17">
        <f t="shared" ref="F19:F21" si="2">E19*D19</f>
        <v>0</v>
      </c>
      <c r="G19" s="13">
        <f t="shared" si="1"/>
        <v>0</v>
      </c>
      <c r="J19" s="116"/>
    </row>
    <row r="20" spans="1:11" ht="15.6" x14ac:dyDescent="0.3">
      <c r="A20" s="159" t="s">
        <v>124</v>
      </c>
      <c r="B20" s="257" t="s">
        <v>5</v>
      </c>
      <c r="C20" s="258"/>
      <c r="D20" s="15">
        <f>VLOOKUP($A20,moduly_podstawowe_BR[],4,FALSE)</f>
        <v>126</v>
      </c>
      <c r="E20" s="16">
        <v>0</v>
      </c>
      <c r="F20" s="17">
        <f t="shared" si="2"/>
        <v>0</v>
      </c>
      <c r="G20" s="13">
        <f>IF(F20&gt;0,1,0)</f>
        <v>0</v>
      </c>
      <c r="J20" s="116"/>
    </row>
    <row r="21" spans="1:11" ht="15.6" x14ac:dyDescent="0.3">
      <c r="A21" s="215" t="s">
        <v>243</v>
      </c>
      <c r="B21" s="257" t="s">
        <v>5</v>
      </c>
      <c r="C21" s="258"/>
      <c r="D21" s="15">
        <f>VLOOKUP($A21,moduly_podstawowe_BR[],4,FALSE)</f>
        <v>9</v>
      </c>
      <c r="E21" s="16">
        <v>0</v>
      </c>
      <c r="F21" s="17">
        <f t="shared" si="2"/>
        <v>0</v>
      </c>
      <c r="G21" s="13">
        <f>IF(F21&gt;0,1,0)</f>
        <v>0</v>
      </c>
      <c r="J21" s="116"/>
    </row>
    <row r="22" spans="1:11" ht="15.6" x14ac:dyDescent="0.3">
      <c r="A22" s="259" t="s">
        <v>10</v>
      </c>
      <c r="B22" s="260"/>
      <c r="C22" s="261"/>
      <c r="D22" s="46"/>
      <c r="E22" s="46"/>
      <c r="F22" s="35">
        <f>SUM(F4:F21)</f>
        <v>0</v>
      </c>
      <c r="G22" s="13">
        <f t="shared" si="1"/>
        <v>0</v>
      </c>
    </row>
    <row r="23" spans="1:11" ht="15.6" x14ac:dyDescent="0.3">
      <c r="A23" s="237" t="s">
        <v>139</v>
      </c>
      <c r="B23" s="238"/>
      <c r="C23" s="204"/>
      <c r="D23" s="28"/>
      <c r="E23" s="130"/>
      <c r="F23" s="127"/>
      <c r="G23" s="100">
        <f>G25</f>
        <v>0</v>
      </c>
    </row>
    <row r="24" spans="1:11" ht="15.6" x14ac:dyDescent="0.3">
      <c r="A24" s="128" t="s">
        <v>165</v>
      </c>
      <c r="B24" s="257" t="s">
        <v>5</v>
      </c>
      <c r="C24" s="258"/>
      <c r="D24" s="15" t="str">
        <f>IFERROR(VLOOKUP(SUM(E4:E14,E18:E20),'Cennik enova365'!$A$142:$E$147,5,TRUE)," ")</f>
        <v xml:space="preserve"> </v>
      </c>
      <c r="E24" s="16" t="s">
        <v>4</v>
      </c>
      <c r="F24" s="17">
        <f>IF(E24="TAK",D24,0)</f>
        <v>0</v>
      </c>
      <c r="G24" s="100">
        <f t="shared" ref="G24:G25" si="3">IF(F24&gt;0,1,0)</f>
        <v>0</v>
      </c>
    </row>
    <row r="25" spans="1:11" ht="15.6" x14ac:dyDescent="0.3">
      <c r="A25" s="269" t="s">
        <v>81</v>
      </c>
      <c r="B25" s="270"/>
      <c r="C25" s="271"/>
      <c r="D25" s="106"/>
      <c r="E25" s="107"/>
      <c r="F25" s="20">
        <f>SUM(F24:F24)</f>
        <v>0</v>
      </c>
      <c r="G25" s="100">
        <f t="shared" si="3"/>
        <v>0</v>
      </c>
    </row>
    <row r="26" spans="1:11" ht="15.6" x14ac:dyDescent="0.3">
      <c r="A26" s="244" t="s">
        <v>142</v>
      </c>
      <c r="B26" s="240"/>
      <c r="C26" s="205"/>
      <c r="D26" s="56"/>
      <c r="E26" s="56" t="s">
        <v>29</v>
      </c>
      <c r="F26" s="57"/>
      <c r="G26" s="13">
        <f>IF(F33&gt;0,1,0)</f>
        <v>0</v>
      </c>
    </row>
    <row r="27" spans="1:11" ht="15.6" x14ac:dyDescent="0.3">
      <c r="A27" s="32" t="s">
        <v>53</v>
      </c>
      <c r="B27" s="257" t="s">
        <v>4</v>
      </c>
      <c r="C27" s="258"/>
      <c r="D27" s="15">
        <f>VLOOKUP(E27,pulpity_KP[],2,FALSE)</f>
        <v>206</v>
      </c>
      <c r="E27" s="16" t="s">
        <v>151</v>
      </c>
      <c r="F27" s="17">
        <f>IF(B27="TAK",D27,0)</f>
        <v>0</v>
      </c>
      <c r="G27" s="13">
        <f t="shared" si="1"/>
        <v>0</v>
      </c>
    </row>
    <row r="28" spans="1:11" ht="15.6" x14ac:dyDescent="0.3">
      <c r="A28" s="32" t="s">
        <v>25</v>
      </c>
      <c r="B28" s="257" t="s">
        <v>4</v>
      </c>
      <c r="C28" s="258"/>
      <c r="D28" s="15">
        <f>VLOOKUP(A28,pulpity_KP[],2,FALSE)</f>
        <v>14</v>
      </c>
      <c r="E28" s="16">
        <v>0</v>
      </c>
      <c r="F28" s="17">
        <f>IF(B28="TAK",D28*E28,0)</f>
        <v>0</v>
      </c>
      <c r="G28" s="13">
        <f t="shared" si="1"/>
        <v>0</v>
      </c>
    </row>
    <row r="29" spans="1:11" s="100" customFormat="1" ht="15.6" x14ac:dyDescent="0.3">
      <c r="A29" s="32" t="s">
        <v>84</v>
      </c>
      <c r="B29" s="257" t="s">
        <v>4</v>
      </c>
      <c r="C29" s="258"/>
      <c r="D29" s="15">
        <f>VLOOKUP(A29,pulpity_KP[],2,FALSE)</f>
        <v>342</v>
      </c>
      <c r="E29" s="15"/>
      <c r="F29" s="17">
        <f>IF(B29="TAK",D29,0)</f>
        <v>0</v>
      </c>
      <c r="G29" s="100">
        <f t="shared" ref="G29" si="4">IF(F29&gt;0,1,0)</f>
        <v>0</v>
      </c>
      <c r="I29" s="101"/>
      <c r="J29" s="109"/>
      <c r="K29" s="109"/>
    </row>
    <row r="30" spans="1:11" ht="15.6" x14ac:dyDescent="0.3">
      <c r="A30" s="32" t="s">
        <v>65</v>
      </c>
      <c r="B30" s="257" t="s">
        <v>4</v>
      </c>
      <c r="C30" s="258"/>
      <c r="D30" s="15">
        <f>VLOOKUP(E30,pulpity_WF[],2,FALSE)</f>
        <v>103</v>
      </c>
      <c r="E30" s="16" t="s">
        <v>151</v>
      </c>
      <c r="F30" s="17">
        <f>IF(B30="TAK",D30,0)</f>
        <v>0</v>
      </c>
      <c r="G30" s="13">
        <f>IF(F30&gt;0,1,0)</f>
        <v>0</v>
      </c>
    </row>
    <row r="31" spans="1:11" ht="15.6" x14ac:dyDescent="0.3">
      <c r="A31" s="32" t="s">
        <v>192</v>
      </c>
      <c r="B31" s="257" t="s">
        <v>4</v>
      </c>
      <c r="C31" s="258"/>
      <c r="D31" s="15">
        <f>VLOOKUP(E31,pulpity_BI[],2,FALSE)</f>
        <v>59</v>
      </c>
      <c r="E31" s="16" t="s">
        <v>151</v>
      </c>
      <c r="F31" s="17">
        <f>IF(B31="TAK",D31,0)</f>
        <v>0</v>
      </c>
      <c r="G31" s="13">
        <f>IF(F31&gt;0,1,0)</f>
        <v>0</v>
      </c>
      <c r="I31" s="196" t="str">
        <f>IF(B75="TAK","ceny promocyjne do 30.06.2021"," ")</f>
        <v xml:space="preserve"> </v>
      </c>
    </row>
    <row r="32" spans="1:11" ht="15.6" x14ac:dyDescent="0.3">
      <c r="A32" s="213" t="s">
        <v>244</v>
      </c>
      <c r="B32" s="257" t="s">
        <v>4</v>
      </c>
      <c r="C32" s="258"/>
      <c r="D32" s="15">
        <f>VLOOKUP(E32,enova365_Praca_Hybrydowa_w_Pulpitach,2,FALSE)</f>
        <v>98</v>
      </c>
      <c r="E32" s="16" t="s">
        <v>151</v>
      </c>
      <c r="F32" s="17">
        <f>IF(B32="TAK",D32,0)</f>
        <v>0</v>
      </c>
      <c r="G32" s="13">
        <f>IF(F32&gt;0,1,0)</f>
        <v>0</v>
      </c>
      <c r="I32" s="196"/>
    </row>
    <row r="33" spans="1:9" ht="15.6" x14ac:dyDescent="0.3">
      <c r="A33" s="259" t="s">
        <v>32</v>
      </c>
      <c r="B33" s="260"/>
      <c r="C33" s="261"/>
      <c r="D33" s="46"/>
      <c r="E33" s="46"/>
      <c r="F33" s="35">
        <f>SUM(F27:F32)</f>
        <v>0</v>
      </c>
      <c r="G33" s="13">
        <f t="shared" si="1"/>
        <v>0</v>
      </c>
    </row>
    <row r="34" spans="1:9" ht="15.6" x14ac:dyDescent="0.3">
      <c r="A34" s="237" t="s">
        <v>147</v>
      </c>
      <c r="B34" s="238"/>
      <c r="C34" s="204"/>
      <c r="D34" s="58"/>
      <c r="E34" s="56" t="s">
        <v>26</v>
      </c>
      <c r="F34" s="59"/>
      <c r="G34" s="13">
        <f>IF(F35&gt;0,1,0)</f>
        <v>0</v>
      </c>
    </row>
    <row r="35" spans="1:9" ht="31.2" x14ac:dyDescent="0.3">
      <c r="A35" s="47" t="s">
        <v>149</v>
      </c>
      <c r="B35" s="278" t="s">
        <v>4</v>
      </c>
      <c r="C35" s="279"/>
      <c r="D35" s="48">
        <f>VLOOKUP("dopłata za kolejną bazę",pulpity_KBR[],2,FALSE)</f>
        <v>5.475E-2</v>
      </c>
      <c r="E35" s="69">
        <v>0</v>
      </c>
      <c r="F35" s="49">
        <f>IF(B35="TAK",(F33*E35)*D35,0)</f>
        <v>0</v>
      </c>
      <c r="G35" s="50">
        <f t="shared" si="1"/>
        <v>0</v>
      </c>
    </row>
    <row r="36" spans="1:9" ht="15.6" x14ac:dyDescent="0.3">
      <c r="A36" s="259" t="s">
        <v>68</v>
      </c>
      <c r="B36" s="260"/>
      <c r="C36" s="261"/>
      <c r="D36" s="33"/>
      <c r="E36" s="33"/>
      <c r="F36" s="35">
        <f>F33+F35</f>
        <v>0</v>
      </c>
      <c r="G36" s="13">
        <f t="shared" si="1"/>
        <v>0</v>
      </c>
    </row>
    <row r="37" spans="1:9" ht="15.6" x14ac:dyDescent="0.3">
      <c r="A37" s="244" t="s">
        <v>148</v>
      </c>
      <c r="B37" s="240"/>
      <c r="C37" s="205"/>
      <c r="D37" s="60"/>
      <c r="E37" s="56" t="s">
        <v>72</v>
      </c>
      <c r="F37" s="61"/>
      <c r="G37" s="13">
        <f>IF(F39&gt;0,1,0)</f>
        <v>0</v>
      </c>
    </row>
    <row r="38" spans="1:9" ht="15.6" x14ac:dyDescent="0.3">
      <c r="A38" s="32" t="s">
        <v>66</v>
      </c>
      <c r="B38" s="69" t="s">
        <v>4</v>
      </c>
      <c r="C38" s="211" t="s">
        <v>218</v>
      </c>
      <c r="D38" s="15">
        <f>IF($C38="Podstawowy",VLOOKUP($E38,pulpity_KBR[],2,FALSE),IF($C38="Rozszerzony",VLOOKUP($E38,pulpity_KBR[],3,FALSE)))</f>
        <v>225</v>
      </c>
      <c r="E38" s="16" t="s">
        <v>157</v>
      </c>
      <c r="F38" s="17">
        <f>IF(B38="TAK",D38,0)</f>
        <v>0</v>
      </c>
      <c r="G38" s="13">
        <f t="shared" si="1"/>
        <v>0</v>
      </c>
      <c r="I38" s="216" t="str">
        <f>IF(B38="NIE"," ",IF(C38="PODSTAWOWY","",IF(C38="ROZSZERZONY","wymaga posiadania na licencji min. 1 st. Faktur w wersji srebrnej")))</f>
        <v xml:space="preserve"> </v>
      </c>
    </row>
    <row r="39" spans="1:9" ht="15.6" x14ac:dyDescent="0.3">
      <c r="A39" s="259" t="s">
        <v>67</v>
      </c>
      <c r="B39" s="260"/>
      <c r="C39" s="261"/>
      <c r="D39" s="46"/>
      <c r="E39" s="46"/>
      <c r="F39" s="35">
        <f>F38</f>
        <v>0</v>
      </c>
      <c r="G39" s="13">
        <f t="shared" si="1"/>
        <v>0</v>
      </c>
    </row>
    <row r="40" spans="1:9" ht="47.4" customHeight="1" x14ac:dyDescent="0.3">
      <c r="A40" s="239" t="s">
        <v>140</v>
      </c>
      <c r="B40" s="240"/>
      <c r="C40" s="205"/>
      <c r="D40" s="62"/>
      <c r="E40" s="60"/>
      <c r="F40" s="61"/>
      <c r="G40" s="13">
        <f>G66</f>
        <v>1</v>
      </c>
    </row>
    <row r="41" spans="1:9" ht="15.6" x14ac:dyDescent="0.3">
      <c r="A41" s="235" t="s">
        <v>86</v>
      </c>
      <c r="B41" s="236"/>
      <c r="C41" s="199"/>
      <c r="D41" s="15">
        <f>VLOOKUP($A41,moduly_dodatkowe[],2,FALSE)</f>
        <v>171</v>
      </c>
      <c r="E41" s="16" t="s">
        <v>4</v>
      </c>
      <c r="F41" s="17">
        <v>0</v>
      </c>
      <c r="G41" s="13">
        <f t="shared" ref="G41:G64" si="5">IF(E41="TAK",1,0)</f>
        <v>0</v>
      </c>
    </row>
    <row r="42" spans="1:9" ht="15.6" x14ac:dyDescent="0.3">
      <c r="A42" s="235" t="s">
        <v>45</v>
      </c>
      <c r="B42" s="236"/>
      <c r="C42" s="199"/>
      <c r="D42" s="15">
        <f>VLOOKUP($A42,moduly_dodatkowe[],2,FALSE)</f>
        <v>171</v>
      </c>
      <c r="E42" s="16" t="s">
        <v>4</v>
      </c>
      <c r="F42" s="17">
        <v>0</v>
      </c>
      <c r="G42" s="13">
        <f t="shared" si="5"/>
        <v>0</v>
      </c>
    </row>
    <row r="43" spans="1:9" ht="15.6" x14ac:dyDescent="0.3">
      <c r="A43" s="235" t="s">
        <v>87</v>
      </c>
      <c r="B43" s="236"/>
      <c r="C43" s="199"/>
      <c r="D43" s="15">
        <f>VLOOKUP($A43,moduly_dodatkowe[],2,FALSE)</f>
        <v>518</v>
      </c>
      <c r="E43" s="16" t="s">
        <v>4</v>
      </c>
      <c r="F43" s="17">
        <v>0</v>
      </c>
      <c r="G43" s="13">
        <f t="shared" si="5"/>
        <v>0</v>
      </c>
    </row>
    <row r="44" spans="1:9" ht="15.6" x14ac:dyDescent="0.3">
      <c r="A44" s="235" t="s">
        <v>88</v>
      </c>
      <c r="B44" s="236"/>
      <c r="C44" s="199"/>
      <c r="D44" s="15">
        <f>VLOOKUP($A44,moduly_dodatkowe[],2,FALSE)</f>
        <v>48</v>
      </c>
      <c r="E44" s="16" t="s">
        <v>4</v>
      </c>
      <c r="F44" s="17">
        <v>0</v>
      </c>
      <c r="G44" s="13">
        <f t="shared" si="5"/>
        <v>0</v>
      </c>
    </row>
    <row r="45" spans="1:9" ht="15.6" x14ac:dyDescent="0.3">
      <c r="A45" s="235" t="s">
        <v>46</v>
      </c>
      <c r="B45" s="236"/>
      <c r="C45" s="199"/>
      <c r="D45" s="15">
        <f>VLOOKUP($A45,moduly_dodatkowe[],2,FALSE)</f>
        <v>137</v>
      </c>
      <c r="E45" s="16" t="s">
        <v>4</v>
      </c>
      <c r="F45" s="17">
        <v>0</v>
      </c>
      <c r="G45" s="13">
        <f t="shared" si="5"/>
        <v>0</v>
      </c>
    </row>
    <row r="46" spans="1:9" ht="15.6" x14ac:dyDescent="0.3">
      <c r="A46" s="235" t="s">
        <v>89</v>
      </c>
      <c r="B46" s="236"/>
      <c r="C46" s="199"/>
      <c r="D46" s="15">
        <f>VLOOKUP($A46,moduly_dodatkowe[],2,FALSE)</f>
        <v>137</v>
      </c>
      <c r="E46" s="16" t="s">
        <v>4</v>
      </c>
      <c r="F46" s="17">
        <v>0</v>
      </c>
      <c r="G46" s="13">
        <f t="shared" si="5"/>
        <v>0</v>
      </c>
    </row>
    <row r="47" spans="1:9" ht="15.6" x14ac:dyDescent="0.3">
      <c r="A47" s="235" t="s">
        <v>85</v>
      </c>
      <c r="B47" s="236"/>
      <c r="C47" s="199"/>
      <c r="D47" s="15">
        <f>VLOOKUP($A47,moduly_dodatkowe[],2,FALSE)</f>
        <v>103</v>
      </c>
      <c r="E47" s="16" t="s">
        <v>4</v>
      </c>
      <c r="F47" s="17">
        <v>0</v>
      </c>
      <c r="G47" s="100">
        <f t="shared" si="5"/>
        <v>0</v>
      </c>
    </row>
    <row r="48" spans="1:9" ht="15.6" x14ac:dyDescent="0.3">
      <c r="A48" s="235" t="s">
        <v>215</v>
      </c>
      <c r="B48" s="236"/>
      <c r="C48" s="199"/>
      <c r="D48" s="15">
        <f>VLOOKUP($A48,moduly_dodatkowe[],2,FALSE)</f>
        <v>296</v>
      </c>
      <c r="E48" s="16" t="s">
        <v>4</v>
      </c>
      <c r="F48" s="17">
        <v>0</v>
      </c>
      <c r="G48" s="100">
        <f t="shared" si="5"/>
        <v>0</v>
      </c>
    </row>
    <row r="49" spans="1:7" ht="15.6" x14ac:dyDescent="0.3">
      <c r="A49" s="235" t="s">
        <v>163</v>
      </c>
      <c r="B49" s="236"/>
      <c r="C49" s="199"/>
      <c r="D49" s="15">
        <f>VLOOKUP($A49,moduly_dodatkowe[],2,FALSE)</f>
        <v>62</v>
      </c>
      <c r="E49" s="16" t="s">
        <v>4</v>
      </c>
      <c r="F49" s="17">
        <v>0</v>
      </c>
      <c r="G49" s="100">
        <f>IF(E49="TAK",1,0)</f>
        <v>0</v>
      </c>
    </row>
    <row r="50" spans="1:7" ht="15.6" x14ac:dyDescent="0.3">
      <c r="A50" s="235" t="s">
        <v>247</v>
      </c>
      <c r="B50" s="236"/>
      <c r="C50" s="249"/>
      <c r="D50" s="15">
        <f>VLOOKUP($A50,moduly_dodatkowe[],2,FALSE)</f>
        <v>165</v>
      </c>
      <c r="E50" s="16" t="s">
        <v>4</v>
      </c>
      <c r="F50" s="17">
        <v>0</v>
      </c>
      <c r="G50" s="100">
        <f>IF(E50="TAK",1,0)</f>
        <v>0</v>
      </c>
    </row>
    <row r="51" spans="1:7" ht="15.6" x14ac:dyDescent="0.3">
      <c r="A51" s="235" t="s">
        <v>79</v>
      </c>
      <c r="B51" s="236"/>
      <c r="C51" s="199"/>
      <c r="D51" s="15">
        <f>VLOOKUP($A51,moduly_dodatkowe[],2,FALSE)</f>
        <v>171</v>
      </c>
      <c r="E51" s="16" t="s">
        <v>4</v>
      </c>
      <c r="F51" s="17">
        <v>0</v>
      </c>
      <c r="G51" s="13">
        <f t="shared" si="5"/>
        <v>0</v>
      </c>
    </row>
    <row r="52" spans="1:7" ht="15.6" x14ac:dyDescent="0.3">
      <c r="A52" s="235" t="s">
        <v>40</v>
      </c>
      <c r="B52" s="236"/>
      <c r="C52" s="199"/>
      <c r="D52" s="15">
        <f>VLOOKUP($A52,moduly_dodatkowe[],2,FALSE)</f>
        <v>137</v>
      </c>
      <c r="E52" s="16" t="s">
        <v>4</v>
      </c>
      <c r="F52" s="17">
        <v>0</v>
      </c>
      <c r="G52" s="13">
        <f t="shared" si="5"/>
        <v>0</v>
      </c>
    </row>
    <row r="53" spans="1:7" ht="15.6" x14ac:dyDescent="0.3">
      <c r="A53" s="235" t="s">
        <v>41</v>
      </c>
      <c r="B53" s="236"/>
      <c r="C53" s="199"/>
      <c r="D53" s="15">
        <f>VLOOKUP($A53,moduly_dodatkowe[],2,FALSE)</f>
        <v>151</v>
      </c>
      <c r="E53" s="16" t="s">
        <v>4</v>
      </c>
      <c r="F53" s="17">
        <v>0</v>
      </c>
      <c r="G53" s="13">
        <f t="shared" si="5"/>
        <v>0</v>
      </c>
    </row>
    <row r="54" spans="1:7" ht="15.6" x14ac:dyDescent="0.3">
      <c r="A54" s="235" t="s">
        <v>42</v>
      </c>
      <c r="B54" s="236"/>
      <c r="C54" s="199"/>
      <c r="D54" s="15">
        <f>VLOOKUP($A54,moduly_dodatkowe[],2,FALSE)</f>
        <v>171</v>
      </c>
      <c r="E54" s="16" t="s">
        <v>4</v>
      </c>
      <c r="F54" s="17">
        <v>0</v>
      </c>
      <c r="G54" s="13">
        <f t="shared" si="5"/>
        <v>0</v>
      </c>
    </row>
    <row r="55" spans="1:7" ht="15.6" x14ac:dyDescent="0.3">
      <c r="A55" s="235" t="s">
        <v>43</v>
      </c>
      <c r="B55" s="236"/>
      <c r="C55" s="199"/>
      <c r="D55" s="15">
        <f>VLOOKUP($A55,moduly_dodatkowe[],2,FALSE)</f>
        <v>103</v>
      </c>
      <c r="E55" s="16" t="s">
        <v>4</v>
      </c>
      <c r="F55" s="17">
        <v>0</v>
      </c>
      <c r="G55" s="13">
        <f t="shared" si="5"/>
        <v>0</v>
      </c>
    </row>
    <row r="56" spans="1:7" ht="15.6" x14ac:dyDescent="0.3">
      <c r="A56" s="235" t="s">
        <v>44</v>
      </c>
      <c r="B56" s="236"/>
      <c r="C56" s="199"/>
      <c r="D56" s="15">
        <f>VLOOKUP($A56,moduly_dodatkowe[],2,FALSE)</f>
        <v>103</v>
      </c>
      <c r="E56" s="16" t="s">
        <v>4</v>
      </c>
      <c r="F56" s="17">
        <v>0</v>
      </c>
      <c r="G56" s="13">
        <f t="shared" si="5"/>
        <v>0</v>
      </c>
    </row>
    <row r="57" spans="1:7" ht="15.6" x14ac:dyDescent="0.3">
      <c r="A57" s="235" t="s">
        <v>51</v>
      </c>
      <c r="B57" s="236"/>
      <c r="C57" s="199"/>
      <c r="D57" s="15">
        <f>VLOOKUP($A57,moduly_dodatkowe[],2,FALSE)</f>
        <v>50</v>
      </c>
      <c r="E57" s="16" t="s">
        <v>4</v>
      </c>
      <c r="F57" s="17">
        <v>0</v>
      </c>
      <c r="G57" s="13">
        <f t="shared" si="5"/>
        <v>0</v>
      </c>
    </row>
    <row r="58" spans="1:7" ht="15.6" x14ac:dyDescent="0.3">
      <c r="A58" s="235" t="s">
        <v>90</v>
      </c>
      <c r="B58" s="236"/>
      <c r="C58" s="199"/>
      <c r="D58" s="15">
        <f>VLOOKUP($A58,moduly_dodatkowe[],2,FALSE)</f>
        <v>13</v>
      </c>
      <c r="E58" s="16" t="s">
        <v>4</v>
      </c>
      <c r="F58" s="17">
        <v>0</v>
      </c>
      <c r="G58" s="13">
        <f t="shared" si="5"/>
        <v>0</v>
      </c>
    </row>
    <row r="59" spans="1:7" ht="15.6" x14ac:dyDescent="0.3">
      <c r="A59" s="235" t="s">
        <v>50</v>
      </c>
      <c r="B59" s="236"/>
      <c r="C59" s="199"/>
      <c r="D59" s="15">
        <f>VLOOKUP($A59,moduly_dodatkowe[],2,FALSE)</f>
        <v>137</v>
      </c>
      <c r="E59" s="16" t="s">
        <v>4</v>
      </c>
      <c r="F59" s="17">
        <v>0</v>
      </c>
      <c r="G59" s="13">
        <f t="shared" si="5"/>
        <v>0</v>
      </c>
    </row>
    <row r="60" spans="1:7" ht="15.6" x14ac:dyDescent="0.3">
      <c r="A60" s="235" t="s">
        <v>83</v>
      </c>
      <c r="B60" s="236"/>
      <c r="C60" s="199"/>
      <c r="D60" s="15">
        <f>VLOOKUP($A60,moduly_dodatkowe[],2,FALSE)</f>
        <v>344</v>
      </c>
      <c r="E60" s="16" t="s">
        <v>4</v>
      </c>
      <c r="F60" s="17">
        <v>0</v>
      </c>
      <c r="G60" s="13">
        <f t="shared" si="5"/>
        <v>0</v>
      </c>
    </row>
    <row r="61" spans="1:7" ht="15.6" x14ac:dyDescent="0.3">
      <c r="A61" s="235" t="s">
        <v>48</v>
      </c>
      <c r="B61" s="236"/>
      <c r="C61" s="199"/>
      <c r="D61" s="15">
        <f>VLOOKUP($A61,moduly_dodatkowe[],2,FALSE)</f>
        <v>62</v>
      </c>
      <c r="E61" s="16" t="s">
        <v>4</v>
      </c>
      <c r="F61" s="17">
        <v>0</v>
      </c>
      <c r="G61" s="13">
        <f t="shared" si="5"/>
        <v>0</v>
      </c>
    </row>
    <row r="62" spans="1:7" ht="15.6" x14ac:dyDescent="0.3">
      <c r="A62" s="235" t="s">
        <v>49</v>
      </c>
      <c r="B62" s="236"/>
      <c r="C62" s="199"/>
      <c r="D62" s="15">
        <f>VLOOKUP($A62,moduly_dodatkowe[],2,FALSE)</f>
        <v>62</v>
      </c>
      <c r="E62" s="16" t="s">
        <v>4</v>
      </c>
      <c r="F62" s="17">
        <v>0</v>
      </c>
      <c r="G62" s="13">
        <f t="shared" si="5"/>
        <v>0</v>
      </c>
    </row>
    <row r="63" spans="1:7" ht="15.6" x14ac:dyDescent="0.3">
      <c r="A63" s="235" t="s">
        <v>63</v>
      </c>
      <c r="B63" s="236"/>
      <c r="C63" s="199"/>
      <c r="D63" s="15">
        <f>VLOOKUP($A63,moduly_dodatkowe[],2,FALSE)</f>
        <v>137</v>
      </c>
      <c r="E63" s="16" t="s">
        <v>4</v>
      </c>
      <c r="F63" s="17">
        <v>0</v>
      </c>
      <c r="G63" s="13">
        <f t="shared" si="5"/>
        <v>0</v>
      </c>
    </row>
    <row r="64" spans="1:7" ht="15.6" x14ac:dyDescent="0.3">
      <c r="A64" s="235" t="s">
        <v>245</v>
      </c>
      <c r="B64" s="236"/>
      <c r="C64" s="249"/>
      <c r="D64" s="15">
        <f>VLOOKUP($A64,moduly_dodatkowe[],2,FALSE)</f>
        <v>126</v>
      </c>
      <c r="E64" s="16" t="s">
        <v>4</v>
      </c>
      <c r="F64" s="17">
        <v>0</v>
      </c>
      <c r="G64" s="13">
        <f t="shared" si="5"/>
        <v>0</v>
      </c>
    </row>
    <row r="65" spans="1:11" ht="15.6" x14ac:dyDescent="0.3">
      <c r="A65" s="235" t="s">
        <v>223</v>
      </c>
      <c r="B65" s="236"/>
      <c r="C65" s="199"/>
      <c r="D65" s="15"/>
      <c r="E65" s="16" t="s">
        <v>2</v>
      </c>
      <c r="F65" s="51" t="s">
        <v>62</v>
      </c>
      <c r="G65" s="13">
        <v>1</v>
      </c>
    </row>
    <row r="66" spans="1:11" ht="15.6" x14ac:dyDescent="0.3">
      <c r="A66" s="276" t="s">
        <v>11</v>
      </c>
      <c r="B66" s="277"/>
      <c r="C66" s="206"/>
      <c r="D66" s="34"/>
      <c r="E66" s="52"/>
      <c r="F66" s="35">
        <f>SUM(F41:F64)</f>
        <v>0</v>
      </c>
      <c r="G66" s="13">
        <f>IF(SUM(G41:G65)&gt;0,1,0)</f>
        <v>1</v>
      </c>
    </row>
    <row r="67" spans="1:11" ht="31.2" customHeight="1" x14ac:dyDescent="0.3">
      <c r="A67" s="239" t="s">
        <v>145</v>
      </c>
      <c r="B67" s="280"/>
      <c r="C67" s="207"/>
      <c r="D67" s="60"/>
      <c r="E67" s="56" t="s">
        <v>34</v>
      </c>
      <c r="F67" s="61"/>
      <c r="G67" s="13">
        <f>IF(F69&gt;0,1,0)</f>
        <v>0</v>
      </c>
    </row>
    <row r="68" spans="1:11" ht="15.6" x14ac:dyDescent="0.3">
      <c r="A68" s="32" t="s">
        <v>57</v>
      </c>
      <c r="B68" s="257" t="s">
        <v>4</v>
      </c>
      <c r="C68" s="258"/>
      <c r="D68" s="18" t="s">
        <v>33</v>
      </c>
      <c r="E68" s="16">
        <v>0</v>
      </c>
      <c r="F68" s="17">
        <v>0</v>
      </c>
      <c r="G68" s="13">
        <f t="shared" ref="G68:G74" si="6">IF(F68&gt;0,1,0)</f>
        <v>0</v>
      </c>
    </row>
    <row r="69" spans="1:11" ht="15.6" x14ac:dyDescent="0.3">
      <c r="A69" s="259" t="s">
        <v>12</v>
      </c>
      <c r="B69" s="260"/>
      <c r="C69" s="261"/>
      <c r="D69" s="72"/>
      <c r="E69" s="71"/>
      <c r="F69" s="35">
        <f>SUM(F68:F68)</f>
        <v>0</v>
      </c>
      <c r="G69" s="13">
        <f t="shared" si="6"/>
        <v>0</v>
      </c>
    </row>
    <row r="70" spans="1:11" s="100" customFormat="1" ht="17.399999999999999" x14ac:dyDescent="0.35">
      <c r="A70" s="89" t="s">
        <v>150</v>
      </c>
      <c r="B70" s="90"/>
      <c r="C70" s="209"/>
      <c r="D70" s="91"/>
      <c r="E70" s="134"/>
      <c r="F70" s="132">
        <f>F22+F25+F66+F69</f>
        <v>0</v>
      </c>
      <c r="G70" s="100">
        <f t="shared" si="6"/>
        <v>0</v>
      </c>
      <c r="I70" s="109"/>
      <c r="J70" s="101"/>
      <c r="K70" s="109"/>
    </row>
    <row r="71" spans="1:11" s="100" customFormat="1" ht="31.2" x14ac:dyDescent="0.35">
      <c r="A71" s="73" t="s">
        <v>59</v>
      </c>
      <c r="B71" s="281" t="s">
        <v>69</v>
      </c>
      <c r="C71" s="282"/>
      <c r="D71" s="283"/>
      <c r="E71" s="74" t="s">
        <v>19</v>
      </c>
      <c r="F71" s="138">
        <f>IF(AND(E72&gt;20),(F70*(E72-20)*0.05),0)</f>
        <v>0</v>
      </c>
      <c r="G71" s="100">
        <f t="shared" si="6"/>
        <v>0</v>
      </c>
      <c r="I71" s="109"/>
      <c r="J71" s="101"/>
      <c r="K71" s="109"/>
    </row>
    <row r="72" spans="1:11" s="100" customFormat="1" ht="17.399999999999999" x14ac:dyDescent="0.3">
      <c r="A72" s="75"/>
      <c r="B72" s="135"/>
      <c r="C72" s="210"/>
      <c r="D72" s="136"/>
      <c r="E72" s="86">
        <v>0</v>
      </c>
      <c r="F72" s="133"/>
      <c r="G72" s="100">
        <f t="shared" si="6"/>
        <v>0</v>
      </c>
      <c r="I72" s="109"/>
      <c r="J72" s="101"/>
      <c r="K72" s="109"/>
    </row>
    <row r="73" spans="1:11" ht="15.6" x14ac:dyDescent="0.3">
      <c r="A73" s="37" t="s">
        <v>61</v>
      </c>
      <c r="B73" s="38"/>
      <c r="C73" s="38"/>
      <c r="D73" s="38"/>
      <c r="E73" s="38"/>
      <c r="F73" s="39">
        <f>F22+F25+F36+F39+F66+F69+F71</f>
        <v>0</v>
      </c>
      <c r="G73" s="100">
        <f t="shared" si="6"/>
        <v>0</v>
      </c>
    </row>
    <row r="74" spans="1:11" ht="15.6" x14ac:dyDescent="0.3">
      <c r="A74" s="40"/>
      <c r="B74" s="257" t="s">
        <v>13</v>
      </c>
      <c r="C74" s="258"/>
      <c r="D74" s="94">
        <v>0</v>
      </c>
      <c r="E74" s="16" t="s">
        <v>4</v>
      </c>
      <c r="F74" s="95">
        <f>IF(E74="TAK",(F73*D74),0)</f>
        <v>0</v>
      </c>
      <c r="G74" s="100">
        <f t="shared" si="6"/>
        <v>0</v>
      </c>
    </row>
    <row r="75" spans="1:11" ht="15.6" x14ac:dyDescent="0.3">
      <c r="A75" s="41"/>
      <c r="B75" s="154" t="s">
        <v>14</v>
      </c>
      <c r="C75" s="154"/>
      <c r="D75" s="155"/>
      <c r="E75" s="155"/>
      <c r="F75" s="150">
        <f>F74</f>
        <v>0</v>
      </c>
      <c r="G75" s="13">
        <f t="shared" si="1"/>
        <v>0</v>
      </c>
    </row>
    <row r="76" spans="1:11" ht="15.6" x14ac:dyDescent="0.3">
      <c r="A76" s="244" t="s">
        <v>235</v>
      </c>
      <c r="B76" s="240"/>
      <c r="C76" s="205"/>
      <c r="D76" s="28"/>
      <c r="E76" s="108" t="s">
        <v>29</v>
      </c>
      <c r="F76" s="22"/>
      <c r="G76" s="13">
        <f t="shared" si="1"/>
        <v>0</v>
      </c>
    </row>
    <row r="77" spans="1:11" ht="15.6" x14ac:dyDescent="0.3">
      <c r="A77" s="32" t="s">
        <v>125</v>
      </c>
      <c r="B77" s="246" t="s">
        <v>234</v>
      </c>
      <c r="C77" s="247"/>
      <c r="D77" s="247"/>
      <c r="E77" s="247"/>
      <c r="F77" s="248"/>
      <c r="G77" s="13">
        <f t="shared" si="1"/>
        <v>0</v>
      </c>
      <c r="I77" s="166"/>
    </row>
    <row r="78" spans="1:11" ht="28.8" x14ac:dyDescent="0.3">
      <c r="A78" s="32" t="s">
        <v>126</v>
      </c>
      <c r="B78" s="267" t="s">
        <v>4</v>
      </c>
      <c r="C78" s="268"/>
      <c r="D78" s="182">
        <f>IF(E78="5 000 stron rocznie",'Cennik enova365'!B156,IF(E78="10 000 stron rocznie",'Cennik enova365'!B157,IF(E78="15 000 stron rocznie",'Cennik enova365'!B158,IF(E78="20 000 stron rocznie",'Cennik enova365'!B159,IF(E78="25 000 stron rocznie",'Cennik enova365'!B160,IF(E78="30 000 stron rocznie",'Cennik enova365'!B161,IF(E78="35 000 stron rocznie",'Cennik enova365'!B162,IF(E78="40 000 stron rocznie",'Cennik enova365'!B163,IF(E78="45 000 stron rocznie",'Cennik enova365'!B164,IF(E78="50 000 stron rocznie",'Cennik enova365'!B165,IF(E78="55 000 stron rocznie",'Cennik enova365'!B166,IF(E78="60 000 stron rocznie",'Cennik enova365'!B167,IF(E78="powyżej 60 000 stron rocznie",'Cennik enova365'!B168)))))))))))))</f>
        <v>934</v>
      </c>
      <c r="E78" s="111" t="s">
        <v>129</v>
      </c>
      <c r="F78" s="151">
        <f>IF(B78="TAK",D78,0)</f>
        <v>0</v>
      </c>
      <c r="G78" s="13">
        <f t="shared" si="1"/>
        <v>0</v>
      </c>
      <c r="I78" s="166" t="s">
        <v>239</v>
      </c>
    </row>
    <row r="79" spans="1:11" ht="15.6" x14ac:dyDescent="0.3">
      <c r="A79" s="36" t="s">
        <v>128</v>
      </c>
      <c r="B79" s="33"/>
      <c r="C79" s="33"/>
      <c r="D79" s="34"/>
      <c r="E79" s="33"/>
      <c r="F79" s="35">
        <f>SUM(F77:F78)</f>
        <v>0</v>
      </c>
      <c r="G79" s="13">
        <f t="shared" si="1"/>
        <v>0</v>
      </c>
    </row>
    <row r="80" spans="1:11" ht="15.6" x14ac:dyDescent="0.3">
      <c r="A80" s="64" t="s">
        <v>15</v>
      </c>
      <c r="B80" s="67"/>
      <c r="C80" s="67"/>
      <c r="D80" s="67"/>
      <c r="E80" s="67"/>
      <c r="F80" s="66">
        <f>F73-F75</f>
        <v>0</v>
      </c>
      <c r="G80" s="13">
        <f t="shared" si="1"/>
        <v>0</v>
      </c>
    </row>
    <row r="81" spans="1:7" ht="15.6" x14ac:dyDescent="0.3">
      <c r="A81" s="64" t="s">
        <v>16</v>
      </c>
      <c r="B81" s="65"/>
      <c r="C81" s="65"/>
      <c r="D81" s="65"/>
      <c r="E81" s="65"/>
      <c r="F81" s="66">
        <f>F80*1.23</f>
        <v>0</v>
      </c>
      <c r="G81" s="13">
        <f t="shared" si="1"/>
        <v>0</v>
      </c>
    </row>
    <row r="82" spans="1:7" x14ac:dyDescent="0.3">
      <c r="A82" s="42" t="s">
        <v>74</v>
      </c>
      <c r="B82" s="13"/>
      <c r="C82" s="13"/>
      <c r="D82" s="13"/>
      <c r="E82" s="13"/>
      <c r="F82" s="13"/>
      <c r="G82" s="13">
        <v>1</v>
      </c>
    </row>
    <row r="83" spans="1:7" x14ac:dyDescent="0.3">
      <c r="A83" s="42" t="s">
        <v>75</v>
      </c>
      <c r="B83" s="13"/>
      <c r="C83" s="13"/>
      <c r="D83" s="13"/>
      <c r="E83" s="13"/>
      <c r="F83" s="13"/>
      <c r="G83" s="13">
        <v>1</v>
      </c>
    </row>
    <row r="84" spans="1:7" x14ac:dyDescent="0.3">
      <c r="A84" s="44" t="s">
        <v>76</v>
      </c>
      <c r="B84" s="53"/>
      <c r="C84" s="13"/>
      <c r="D84" s="13"/>
      <c r="E84" s="13"/>
      <c r="F84" s="13"/>
      <c r="G84" s="13">
        <v>1</v>
      </c>
    </row>
    <row r="86" spans="1:7" ht="21" x14ac:dyDescent="0.3">
      <c r="A86" s="230" t="s">
        <v>193</v>
      </c>
      <c r="B86" s="231"/>
      <c r="C86" s="231"/>
      <c r="D86" s="231"/>
      <c r="E86" s="231"/>
      <c r="F86" s="231"/>
    </row>
    <row r="87" spans="1:7" ht="75.599999999999994" customHeight="1" x14ac:dyDescent="0.3">
      <c r="A87" s="242" t="s">
        <v>212</v>
      </c>
      <c r="B87" s="242"/>
      <c r="C87" s="242"/>
      <c r="D87" s="242"/>
      <c r="E87" s="242"/>
      <c r="F87" s="242"/>
    </row>
    <row r="88" spans="1:7" x14ac:dyDescent="0.3">
      <c r="A88" s="13"/>
    </row>
    <row r="89" spans="1:7" ht="23.4" x14ac:dyDescent="0.45">
      <c r="A89" s="243" t="s">
        <v>184</v>
      </c>
      <c r="B89" s="243"/>
      <c r="C89" s="243"/>
      <c r="D89" s="243"/>
      <c r="E89" s="243"/>
      <c r="F89" s="243"/>
    </row>
  </sheetData>
  <autoFilter ref="G2:G95" xr:uid="{00000000-0009-0000-0000-000002000000}"/>
  <dataConsolidate/>
  <mergeCells count="76">
    <mergeCell ref="A89:F89"/>
    <mergeCell ref="A1:F1"/>
    <mergeCell ref="A34:B34"/>
    <mergeCell ref="A23:B23"/>
    <mergeCell ref="A26:B26"/>
    <mergeCell ref="A3:D3"/>
    <mergeCell ref="A51:B51"/>
    <mergeCell ref="A37:B37"/>
    <mergeCell ref="A40:B40"/>
    <mergeCell ref="A41:B41"/>
    <mergeCell ref="A42:B42"/>
    <mergeCell ref="A43:B43"/>
    <mergeCell ref="A44:B44"/>
    <mergeCell ref="A45:B45"/>
    <mergeCell ref="A46:B46"/>
    <mergeCell ref="B18:C18"/>
    <mergeCell ref="B19:C19"/>
    <mergeCell ref="B20:C20"/>
    <mergeCell ref="A86:F86"/>
    <mergeCell ref="B24:C24"/>
    <mergeCell ref="A22:C22"/>
    <mergeCell ref="A25:C25"/>
    <mergeCell ref="B27:C27"/>
    <mergeCell ref="B28:C28"/>
    <mergeCell ref="B29:C29"/>
    <mergeCell ref="B30:C30"/>
    <mergeCell ref="B31:C31"/>
    <mergeCell ref="A33:C33"/>
    <mergeCell ref="B35:C35"/>
    <mergeCell ref="B32:C32"/>
    <mergeCell ref="B77:F77"/>
    <mergeCell ref="B21:C21"/>
    <mergeCell ref="A87:F87"/>
    <mergeCell ref="A49:B49"/>
    <mergeCell ref="A63:B63"/>
    <mergeCell ref="A52:B52"/>
    <mergeCell ref="A53:B53"/>
    <mergeCell ref="A54:B54"/>
    <mergeCell ref="A55:B55"/>
    <mergeCell ref="A56:B56"/>
    <mergeCell ref="A57:B57"/>
    <mergeCell ref="A58:B58"/>
    <mergeCell ref="A59:B59"/>
    <mergeCell ref="A60:B60"/>
    <mergeCell ref="B71:D71"/>
    <mergeCell ref="A69:C69"/>
    <mergeCell ref="B78:C78"/>
    <mergeCell ref="A76:B76"/>
    <mergeCell ref="B2:C2"/>
    <mergeCell ref="B12:C12"/>
    <mergeCell ref="B15:C15"/>
    <mergeCell ref="B16:C16"/>
    <mergeCell ref="B17:C17"/>
    <mergeCell ref="B4:C4"/>
    <mergeCell ref="B5:C5"/>
    <mergeCell ref="B6:C6"/>
    <mergeCell ref="B7:C7"/>
    <mergeCell ref="B8:C8"/>
    <mergeCell ref="B9:C9"/>
    <mergeCell ref="B10:C10"/>
    <mergeCell ref="B11:C11"/>
    <mergeCell ref="B13:C13"/>
    <mergeCell ref="B14:C14"/>
    <mergeCell ref="A36:C36"/>
    <mergeCell ref="A39:C39"/>
    <mergeCell ref="B68:C68"/>
    <mergeCell ref="B74:C74"/>
    <mergeCell ref="A61:B61"/>
    <mergeCell ref="A62:B62"/>
    <mergeCell ref="A48:B48"/>
    <mergeCell ref="A65:B65"/>
    <mergeCell ref="A66:B66"/>
    <mergeCell ref="A67:B67"/>
    <mergeCell ref="A47:B47"/>
    <mergeCell ref="A64:C64"/>
    <mergeCell ref="A50:C50"/>
  </mergeCells>
  <dataValidations xWindow="617" yWindow="839" count="15">
    <dataValidation allowBlank="1" showInputMessage="1" showErrorMessage="1" prompt="wymaga: Ewidencji Środków pieniężnych, dowolny moduł samodzielny min. w wersji srebrnej (patrz powyżej zaznaczone na zielono)" sqref="E19" xr:uid="{00000000-0002-0000-0200-000000000000}"/>
    <dataValidation allowBlank="1" showInputMessage="1" showErrorMessage="1" prompt="na licencji musi być inny, dowolny moduł, którego działanie chcemy oprocesować" sqref="E15" xr:uid="{00000000-0002-0000-0200-000001000000}"/>
    <dataValidation allowBlank="1" showInputMessage="1" showErrorMessage="1" prompt="wymaga min. jednego modułu pozwalającego_x000a_generować dokumenty sprzedaży (generujące_x000a_należności – Faktury/Handel, Księga Podatkowa_x000a_oraz Księga Handlowa)" sqref="E9" xr:uid="{00000000-0002-0000-0200-000002000000}"/>
    <dataValidation allowBlank="1" showInputMessage="1" showErrorMessage="1" prompt="można dokupić jeżeli na licencji jest już min. jedno stanowsiko dowolnego modułu samodzielnego min. w wersji srebrnej (patrz powyżej zaznaczone na zielono)" sqref="E8" xr:uid="{00000000-0002-0000-0200-000003000000}"/>
    <dataValidation allowBlank="1" showErrorMessage="1" prompt="zaznacz odpowiednią opcję" sqref="E65" xr:uid="{00000000-0002-0000-0200-000004000000}"/>
    <dataValidation allowBlank="1" showInputMessage="1" showErrorMessage="1" prompt="wpisz maksymalną liczbę kierowników z największej bazy,_x000a_PRZYKŁAD:_x000a_P.Kierownika będzie użytkowny w 2 bazach:_x000a_w 1. - 5 dostępów, w 2. - 3 dostępy_x000a_zatem wpisujemy 5" sqref="E28" xr:uid="{00000000-0002-0000-0200-000005000000}"/>
    <dataValidation allowBlank="1" showInputMessage="1" showErrorMessage="1" prompt="wpisz liczbę baz" sqref="E35" xr:uid="{00000000-0002-0000-0200-000006000000}"/>
    <dataValidation allowBlank="1" showInputMessage="1" showErrorMessage="1" prompt="wpisz liczbę wszystkich baz instalacji wielofirmowej" sqref="E72" xr:uid="{00000000-0002-0000-0200-000007000000}"/>
    <dataValidation allowBlank="1" showInputMessage="1" showErrorMessage="1" promptTitle="Wartość wyliczy się samodzielnie" prompt="pamiętaj, że cena jest zależna od łącznej liczby stanowisk modułów podstawowych, wprowadź je wszystkie" sqref="D24" xr:uid="{00000000-0002-0000-0200-000008000000}"/>
    <dataValidation type="list" allowBlank="1" showInputMessage="1" showErrorMessage="1" sqref="B38" xr:uid="{00000000-0002-0000-0200-000009000000}">
      <formula1>"TAK,NIE"</formula1>
    </dataValidation>
    <dataValidation allowBlank="1" showInputMessage="1" showErrorMessage="1" prompt="wpisz liczbę tabel" sqref="E68" xr:uid="{00000000-0002-0000-0200-00000A000000}"/>
    <dataValidation allowBlank="1" showInputMessage="1" showErrorMessage="1" prompt="wpisz wartość rabatu" sqref="D74" xr:uid="{00000000-0002-0000-0200-00000B000000}"/>
    <dataValidation allowBlank="1" showInputMessage="1" showErrorMessage="1" prompt="Wymaga modułów: _x000a_Workflow platyna_x000a_DMS platyna _x000a_Harmonogram Zadań_x000a_Integracja OCR" sqref="A77" xr:uid="{6E0DDDBC-FA6C-49EB-938D-0BFD4CE40403}"/>
    <dataValidation allowBlank="1" showInputMessage="1" showErrorMessage="1" prompt="Wpisz liczbę stanowisk" sqref="E4" xr:uid="{87C7E7DC-CC21-4130-B9E3-E834BD6E4A9E}"/>
    <dataValidation allowBlank="1" showInputMessage="1" showErrorMessage="1" prompt="dowolny moduł, który chcemy &quot;poglądać&quot;" sqref="E18" xr:uid="{5BBBB732-698D-460E-B001-5F9853528349}"/>
  </dataValidations>
  <hyperlinks>
    <hyperlink ref="A89:F89" r:id="rId1" display="Formularz oferty wyceny usługi enova365 IaaS &gt;" xr:uid="{00000000-0004-0000-0200-000000000000}"/>
    <hyperlink ref="B77:F77" r:id="rId2" display="cennik dostępny jest w Bazie Wiedzy" xr:uid="{71AB3662-0DFE-4249-BCC0-99B343E30EF5}"/>
  </hyperlinks>
  <pageMargins left="0.7" right="0.7" top="0.75" bottom="0.75" header="0.3" footer="0.3"/>
  <pageSetup paperSize="9" orientation="portrait" r:id="rId3"/>
  <ignoredErrors>
    <ignoredError sqref="F17 F28" formula="1"/>
  </ignoredErrors>
  <extLst>
    <ext xmlns:x14="http://schemas.microsoft.com/office/spreadsheetml/2009/9/main" uri="{CCE6A557-97BC-4b89-ADB6-D9C93CAAB3DF}">
      <x14:dataValidations xmlns:xm="http://schemas.microsoft.com/office/excel/2006/main" xWindow="617" yWindow="839" count="24">
        <x14:dataValidation type="list" allowBlank="1" showInputMessage="1" showErrorMessage="1" xr:uid="{00000000-0002-0000-0200-00000C000000}">
          <x14:formula1>
            <xm:f>'Cennik enova365'!$I$14:$I$15</xm:f>
          </x14:formula1>
          <xm:sqref>E74 B35</xm:sqref>
        </x14:dataValidation>
        <x14:dataValidation type="list" allowBlank="1" showInputMessage="1" showErrorMessage="1" prompt="dowolny moduł min. w wersji złotej_x000a_(przynajmniej jedno, dowolne stanowsiko w ramach licencji Klienta musi być złote)" xr:uid="{00000000-0002-0000-0200-00000D000000}">
          <x14:formula1>
            <xm:f>'Cennik enova365'!$I$14:$I$15</xm:f>
          </x14:formula1>
          <xm:sqref>E61 E63:E64</xm:sqref>
        </x14:dataValidation>
        <x14:dataValidation type="list" allowBlank="1" showInputMessage="1" showErrorMessage="1" prompt="dowolny moduł min. w wersji złotej_x000a_(przynajmniej jedno, dowolne stanowsiko w ramach licencji Klienta musi być multi)" xr:uid="{00000000-0002-0000-0200-000010000000}">
          <x14:formula1>
            <xm:f>'Cennik enova365'!$I$14:$I$15</xm:f>
          </x14:formula1>
          <xm:sqref>E60</xm:sqref>
        </x14:dataValidation>
        <x14:dataValidation type="list" allowBlank="1" showInputMessage="1" showErrorMessage="1" prompt="wybierz przedział" xr:uid="{00000000-0002-0000-0200-000011000000}">
          <x14:formula1>
            <xm:f>'Cennik enova365'!$A$92:$A$97</xm:f>
          </x14:formula1>
          <xm:sqref>E27</xm:sqref>
        </x14:dataValidation>
        <x14:dataValidation type="list" allowBlank="1" showInputMessage="1" showErrorMessage="1" prompt="wymaga: CRM lub Projekty " xr:uid="{00000000-0002-0000-0200-000014000000}">
          <x14:formula1>
            <xm:f>'Cennik enova365'!$I$14:$I$15</xm:f>
          </x14:formula1>
          <xm:sqref>E62</xm:sqref>
        </x14:dataValidation>
        <x14:dataValidation type="list" allowBlank="1" showInputMessage="1" showErrorMessage="1" prompt="wymaga min. po 1 stanowisku modułów Kadry Płace oraz Handel " xr:uid="{00000000-0002-0000-0200-000015000000}">
          <x14:formula1>
            <xm:f>'Cennik enova365'!$I$14:$I$15</xm:f>
          </x14:formula1>
          <xm:sqref>E47</xm:sqref>
        </x14:dataValidation>
        <x14:dataValidation type="list" allowBlank="1" showInputMessage="1" showErrorMessage="1" prompt="wymaga: Faktury lub Handel _x000a_" xr:uid="{00000000-0002-0000-0200-000017000000}">
          <x14:formula1>
            <xm:f>'Cennik enova365'!$I$14:$I$15</xm:f>
          </x14:formula1>
          <xm:sqref>E57 E59</xm:sqref>
        </x14:dataValidation>
        <x14:dataValidation type="list" allowBlank="1" showInputMessage="1" showErrorMessage="1" prompt="dowolny moduł min. w wersji srebrnej" xr:uid="{00000000-0002-0000-0200-000018000000}">
          <x14:formula1>
            <xm:f>'Cennik enova365'!$I$14:$I$15</xm:f>
          </x14:formula1>
          <xm:sqref>E58</xm:sqref>
        </x14:dataValidation>
        <x14:dataValidation type="list" allowBlank="1" showInputMessage="1" showErrorMessage="1" prompt="wskaż przedział (ilu klientów biura ma korzystać z tego Pulpitu)" xr:uid="{00000000-0002-0000-0200-00001B000000}">
          <x14:formula1>
            <xm:f>'Cennik enova365'!$A$118:$A$122</xm:f>
          </x14:formula1>
          <xm:sqref>E38</xm:sqref>
        </x14:dataValidation>
        <x14:dataValidation type="list" allowBlank="1" showInputMessage="1" showErrorMessage="1" prompt="wybierz przedział" xr:uid="{00000000-0002-0000-0200-00001C000000}">
          <x14:formula1>
            <xm:f>'Cennik enova365'!$A$110:$A$115</xm:f>
          </x14:formula1>
          <xm:sqref>E30:E32</xm:sqref>
        </x14:dataValidation>
        <x14:dataValidation type="list" allowBlank="1" showInputMessage="1" showErrorMessage="1" errorTitle="Wprowadź moduły podstawowe" error="wprowadź moduły podstawowe, wówczas paramerty BI uzupełnią się samodzielnie" promptTitle="Wartość wyliczy się samodzielnie" prompt="pamiętaj, że cena jest zależna od łącznej liczby stanowisk modułów podstawowych, wprowadź je wszystkie" xr:uid="{00000000-0002-0000-0200-00001D000000}">
          <x14:formula1>
            <xm:f>'Cennik enova365'!$I$14:$I$15</xm:f>
          </x14:formula1>
          <xm:sqref>E24</xm:sqref>
        </x14:dataValidation>
        <x14:dataValidation type="list" allowBlank="1" showInputMessage="1" showErrorMessage="1" prompt="wymaga: Ewidencji Środków pieniężnych, dowolny moduł samodzielny min. w wersji srebrnej (patrz powyżej zaznaczone na zielono)" xr:uid="{00000000-0002-0000-0200-000020000000}">
          <x14:formula1>
            <xm:f>'Cennik enova365'!$I$14:$I$15</xm:f>
          </x14:formula1>
          <xm:sqref>E53:E54</xm:sqref>
        </x14:dataValidation>
        <x14:dataValidation type="list" allowBlank="1" showInputMessage="1" showErrorMessage="1" prompt="zaznacz odpowiednią opcję" xr:uid="{00000000-0002-0000-0200-000021000000}">
          <x14:formula1>
            <xm:f>'Cennik enova365'!$I$14:$I$15</xm:f>
          </x14:formula1>
          <xm:sqref>B68</xm:sqref>
        </x14:dataValidation>
        <x14:dataValidation type="list" allowBlank="1" showInputMessage="1" showErrorMessage="1" prompt="Wybierz wersję._x000a_W wersji rozszerzonej wymaga min. 1 stanowiska modułu Faktury na licencji BR" xr:uid="{00000000-0002-0000-0200-000022000000}">
          <x14:formula1>
            <xm:f>'Cennik enova365'!$B$117:$C$117</xm:f>
          </x14:formula1>
          <xm:sqref>C38</xm:sqref>
        </x14:dataValidation>
        <x14:dataValidation type="list" allowBlank="1" showInputMessage="1" showErrorMessage="1" prompt="wymaga min. po 1 stanowisku modułów Praca Hybrydowa, Kadry Płace oraz Pulpitu Pracownika" xr:uid="{00000000-0002-0000-0200-000023000000}">
          <x14:formula1>
            <xm:f>'Cennik enova365'!$I$14:$I$15</xm:f>
          </x14:formula1>
          <xm:sqref>B32:C32</xm:sqref>
        </x14:dataValidation>
        <x14:dataValidation type="list" allowBlank="1" showInputMessage="1" showErrorMessage="1" prompt="wymaga BI oraz innego Pulpitu" xr:uid="{00000000-0002-0000-0200-000024000000}">
          <x14:formula1>
            <xm:f>'Cennik enova365'!$I$14:$I$15</xm:f>
          </x14:formula1>
          <xm:sqref>B31:C31</xm:sqref>
        </x14:dataValidation>
        <x14:dataValidation type="list" allowBlank="1" showInputMessage="1" showErrorMessage="1" prompt="abonament roczny, przedział musi być zgodny z przedziałem licecnji ABBYY FlexiCapture Distributed for Invoices " xr:uid="{F0F57D00-0FE0-48D7-A1E9-BC6747B5EE60}">
          <x14:formula1>
            <xm:f>'Cennik enova365'!$I$14:$I$15</xm:f>
          </x14:formula1>
          <xm:sqref>B78:C78</xm:sqref>
        </x14:dataValidation>
        <x14:dataValidation type="list" allowBlank="1" showInputMessage="1" showErrorMessage="1" prompt="abonament roczny, przedział musi być zgodny z przedziałem licecnji ABBYY FlexiCapture Distributed for Invoices " xr:uid="{DEA5B51B-E2DA-4AD5-A238-A6180434A87C}">
          <x14:formula1>
            <xm:f>'Cennik enova365'!$A$156:$A$168</xm:f>
          </x14:formula1>
          <xm:sqref>E78</xm:sqref>
        </x14:dataValidation>
        <x14:dataValidation type="list" allowBlank="1" showInputMessage="1" showErrorMessage="1" prompt="wymaga min. 1 stanowiska modułu Kadry Płace" xr:uid="{88506B56-DB55-4E85-B7B7-414A30C9696A}">
          <x14:formula1>
            <xm:f>'Cennik enova365'!$I$14:$I$15</xm:f>
          </x14:formula1>
          <xm:sqref>B27:C27 E41:E46 E48:E50</xm:sqref>
        </x14:dataValidation>
        <x14:dataValidation type="list" allowBlank="1" showInputMessage="1" showErrorMessage="1" prompt="wymaga Pulpitu Pracownika oraz min. 1 stanowiska modułu Kadry Płace" xr:uid="{E5F73308-7559-4FAE-956F-753A0AB1F0E4}">
          <x14:formula1>
            <xm:f>'Cennik enova365'!$I$14:$I$15</xm:f>
          </x14:formula1>
          <xm:sqref>B28:C28</xm:sqref>
        </x14:dataValidation>
        <x14:dataValidation type="list" allowBlank="1" showInputMessage="1" showErrorMessage="1" prompt="wymaga Pulpitu Pracownika" xr:uid="{A19F9D8F-AE97-422B-941B-6E9D55AA8A97}">
          <x14:formula1>
            <xm:f>'Cennik enova365'!$I$14:$I$15</xm:f>
          </x14:formula1>
          <xm:sqref>B29:C29</xm:sqref>
        </x14:dataValidation>
        <x14:dataValidation type="list" allowBlank="1" showInputMessage="1" showErrorMessage="1" prompt="wymaga modułu Workflow oraz innego Pulpitu" xr:uid="{474BB7ED-01AB-40D9-A32D-8579FBCCAAA5}">
          <x14:formula1>
            <xm:f>'Cennik enova365'!$I$14:$I$15</xm:f>
          </x14:formula1>
          <xm:sqref>B30:C30</xm:sqref>
        </x14:dataValidation>
        <x14:dataValidation type="list" allowBlank="1" showInputMessage="1" showErrorMessage="1" prompt="wymaga min. 1 stanowiska modułu Księga Handlowa" xr:uid="{22FC3C5F-17E0-4289-9661-16CA28D71C49}">
          <x14:formula1>
            <xm:f>'Cennik enova365'!$I$14:$I$15</xm:f>
          </x14:formula1>
          <xm:sqref>E51:E52</xm:sqref>
        </x14:dataValidation>
        <x14:dataValidation type="list" allowBlank="1" showInputMessage="1" showErrorMessage="1" prompt="wymaga: Księga Handlowa lub Księga Podatkowa" xr:uid="{88A18E8D-A6FA-484E-83D7-8587C7594613}">
          <x14:formula1>
            <xm:f>'Cennik enova365'!$I$14:$I$15</xm:f>
          </x14:formula1>
          <xm:sqref>E55:E56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11"/>
  <sheetViews>
    <sheetView zoomScale="80" zoomScaleNormal="80" workbookViewId="0">
      <selection activeCell="B12" sqref="B12"/>
    </sheetView>
  </sheetViews>
  <sheetFormatPr defaultColWidth="9.109375" defaultRowHeight="14.4" x14ac:dyDescent="0.3"/>
  <cols>
    <col min="1" max="1" width="48.88671875" style="13" customWidth="1"/>
    <col min="2" max="2" width="23.109375" style="13" customWidth="1"/>
    <col min="3" max="3" width="20.109375" style="13" customWidth="1"/>
    <col min="4" max="4" width="20.5546875" style="13" customWidth="1"/>
    <col min="5" max="5" width="18.6640625" style="13" customWidth="1"/>
    <col min="6" max="6" width="12.5546875" style="13" customWidth="1"/>
    <col min="7" max="7" width="9.109375" style="13"/>
    <col min="8" max="8" width="75.44140625" style="13" customWidth="1"/>
    <col min="9" max="16384" width="9.109375" style="13"/>
  </cols>
  <sheetData>
    <row r="1" spans="1:8" ht="21" x14ac:dyDescent="0.3">
      <c r="A1" s="230" t="s">
        <v>185</v>
      </c>
      <c r="B1" s="231"/>
      <c r="C1" s="231"/>
      <c r="D1" s="231"/>
      <c r="E1" s="231"/>
    </row>
    <row r="2" spans="1:8" ht="78" x14ac:dyDescent="0.3">
      <c r="A2" s="6" t="s">
        <v>7</v>
      </c>
      <c r="B2" s="83" t="s">
        <v>8</v>
      </c>
      <c r="C2" s="8" t="s">
        <v>78</v>
      </c>
      <c r="D2" s="9" t="s">
        <v>136</v>
      </c>
      <c r="E2" s="10" t="s">
        <v>9</v>
      </c>
      <c r="F2" s="87" t="s">
        <v>20</v>
      </c>
      <c r="H2" s="161" t="s">
        <v>138</v>
      </c>
    </row>
    <row r="3" spans="1:8" ht="15.6" x14ac:dyDescent="0.3">
      <c r="A3" s="227" t="s">
        <v>141</v>
      </c>
      <c r="B3" s="228"/>
      <c r="C3" s="229"/>
      <c r="D3" s="11"/>
      <c r="E3" s="12"/>
      <c r="F3" s="13">
        <f>IF(E31&gt;0,1,0)</f>
        <v>0</v>
      </c>
    </row>
    <row r="4" spans="1:8" ht="15.6" x14ac:dyDescent="0.3">
      <c r="A4" s="159" t="s">
        <v>94</v>
      </c>
      <c r="B4" s="23" t="s">
        <v>36</v>
      </c>
      <c r="C4" s="15">
        <f>VLOOKUP($A4,moduly_podstawowe[],5,FALSE)</f>
        <v>452</v>
      </c>
      <c r="D4" s="16">
        <v>0</v>
      </c>
      <c r="E4" s="17">
        <f>C4*D4</f>
        <v>0</v>
      </c>
      <c r="F4" s="13">
        <f t="shared" ref="F4:F31" si="0">IF(E4&gt;0,1,0)</f>
        <v>0</v>
      </c>
    </row>
    <row r="5" spans="1:8" ht="15.6" x14ac:dyDescent="0.3">
      <c r="A5" s="159" t="s">
        <v>95</v>
      </c>
      <c r="B5" s="23" t="s">
        <v>36</v>
      </c>
      <c r="C5" s="15">
        <f>VLOOKUP($A5,moduly_podstawowe[],5,FALSE)</f>
        <v>88</v>
      </c>
      <c r="D5" s="16">
        <v>0</v>
      </c>
      <c r="E5" s="17">
        <f t="shared" ref="E5:E23" si="1">C5*D5</f>
        <v>0</v>
      </c>
      <c r="F5" s="13">
        <f t="shared" si="0"/>
        <v>0</v>
      </c>
      <c r="H5" s="161"/>
    </row>
    <row r="6" spans="1:8" ht="15.6" x14ac:dyDescent="0.3">
      <c r="A6" s="159" t="s">
        <v>96</v>
      </c>
      <c r="B6" s="23" t="s">
        <v>36</v>
      </c>
      <c r="C6" s="15">
        <f>VLOOKUP($A6,moduly_podstawowe[],5,FALSE)</f>
        <v>412</v>
      </c>
      <c r="D6" s="16">
        <v>0</v>
      </c>
      <c r="E6" s="17">
        <f t="shared" si="1"/>
        <v>0</v>
      </c>
      <c r="F6" s="13">
        <f t="shared" si="0"/>
        <v>0</v>
      </c>
      <c r="H6" s="161"/>
    </row>
    <row r="7" spans="1:8" ht="15.6" x14ac:dyDescent="0.3">
      <c r="A7" s="159" t="s">
        <v>97</v>
      </c>
      <c r="B7" s="23" t="s">
        <v>36</v>
      </c>
      <c r="C7" s="15">
        <f>VLOOKUP($A7,moduly_podstawowe[],5,FALSE)</f>
        <v>209</v>
      </c>
      <c r="D7" s="16">
        <v>0</v>
      </c>
      <c r="E7" s="17">
        <f t="shared" si="1"/>
        <v>0</v>
      </c>
      <c r="F7" s="13">
        <f t="shared" si="0"/>
        <v>0</v>
      </c>
      <c r="H7" s="161"/>
    </row>
    <row r="8" spans="1:8" ht="31.2" x14ac:dyDescent="0.3">
      <c r="A8" s="126" t="s">
        <v>98</v>
      </c>
      <c r="B8" s="23" t="s">
        <v>36</v>
      </c>
      <c r="C8" s="15">
        <f>VLOOKUP($A8,moduly_podstawowe[],5,FALSE)</f>
        <v>36</v>
      </c>
      <c r="D8" s="16">
        <v>0</v>
      </c>
      <c r="E8" s="17">
        <f t="shared" si="1"/>
        <v>0</v>
      </c>
      <c r="F8" s="13">
        <v>0</v>
      </c>
      <c r="H8" s="161"/>
    </row>
    <row r="9" spans="1:8" ht="15.6" x14ac:dyDescent="0.3">
      <c r="A9" s="126" t="s">
        <v>137</v>
      </c>
      <c r="B9" s="23" t="s">
        <v>36</v>
      </c>
      <c r="C9" s="15">
        <f>VLOOKUP($A9,moduly_podstawowe[],5,FALSE)</f>
        <v>81</v>
      </c>
      <c r="D9" s="16">
        <v>0</v>
      </c>
      <c r="E9" s="17">
        <f t="shared" si="1"/>
        <v>0</v>
      </c>
      <c r="F9" s="13">
        <v>0</v>
      </c>
      <c r="H9" s="161"/>
    </row>
    <row r="10" spans="1:8" ht="15.6" x14ac:dyDescent="0.3">
      <c r="A10" s="159" t="s">
        <v>99</v>
      </c>
      <c r="B10" s="23" t="s">
        <v>36</v>
      </c>
      <c r="C10" s="15">
        <f>VLOOKUP($A10,moduly_podstawowe[],5,FALSE)</f>
        <v>125</v>
      </c>
      <c r="D10" s="16">
        <v>0</v>
      </c>
      <c r="E10" s="17">
        <f t="shared" si="1"/>
        <v>0</v>
      </c>
      <c r="F10" s="13">
        <f t="shared" si="0"/>
        <v>0</v>
      </c>
    </row>
    <row r="11" spans="1:8" ht="15.6" x14ac:dyDescent="0.3">
      <c r="A11" s="159" t="s">
        <v>100</v>
      </c>
      <c r="B11" s="23" t="s">
        <v>36</v>
      </c>
      <c r="C11" s="15">
        <f>VLOOKUP($A11,moduly_podstawowe[],5,FALSE)</f>
        <v>309</v>
      </c>
      <c r="D11" s="16">
        <v>0</v>
      </c>
      <c r="E11" s="17">
        <f>IF(AND((D10&gt;0),(D11&gt;0)),"usuń Faktury",C11*D11)</f>
        <v>0</v>
      </c>
      <c r="F11" s="13">
        <f t="shared" si="0"/>
        <v>0</v>
      </c>
      <c r="H11" s="165" t="str">
        <f>IF(E11="usuń Faktury","Faktur i Handlu nie można łączyć w ramach jednej licencji"," ")</f>
        <v xml:space="preserve"> </v>
      </c>
    </row>
    <row r="12" spans="1:8" ht="15.6" x14ac:dyDescent="0.3">
      <c r="A12" s="70" t="s">
        <v>101</v>
      </c>
      <c r="B12" s="23" t="s">
        <v>36</v>
      </c>
      <c r="C12" s="15">
        <f>VLOOKUP($A12,moduly_podstawowe[],5,FALSE)</f>
        <v>354</v>
      </c>
      <c r="D12" s="16">
        <v>0</v>
      </c>
      <c r="E12" s="17">
        <f t="shared" si="1"/>
        <v>0</v>
      </c>
      <c r="F12" s="13">
        <f t="shared" si="0"/>
        <v>0</v>
      </c>
    </row>
    <row r="13" spans="1:8" ht="15.6" x14ac:dyDescent="0.3">
      <c r="A13" s="70" t="s">
        <v>102</v>
      </c>
      <c r="B13" s="23" t="s">
        <v>36</v>
      </c>
      <c r="C13" s="15">
        <f>VLOOKUP($A13,moduly_podstawowe[],5,FALSE)</f>
        <v>314</v>
      </c>
      <c r="D13" s="16">
        <v>0</v>
      </c>
      <c r="E13" s="17">
        <f t="shared" si="1"/>
        <v>0</v>
      </c>
      <c r="F13" s="13">
        <f t="shared" si="0"/>
        <v>0</v>
      </c>
    </row>
    <row r="14" spans="1:8" ht="15.6" x14ac:dyDescent="0.3">
      <c r="A14" s="159" t="s">
        <v>103</v>
      </c>
      <c r="B14" s="23" t="s">
        <v>36</v>
      </c>
      <c r="C14" s="15">
        <f>VLOOKUP($A14,moduly_podstawowe[],5,FALSE)</f>
        <v>215</v>
      </c>
      <c r="D14" s="16">
        <v>0</v>
      </c>
      <c r="E14" s="17">
        <f t="shared" si="1"/>
        <v>0</v>
      </c>
      <c r="F14" s="13">
        <f>IF(E14&gt;0,1,0)</f>
        <v>0</v>
      </c>
      <c r="H14" s="161" t="str">
        <f>IF(D14&gt;0,"zawiera pełną funcjonalność e-mail"," ")</f>
        <v xml:space="preserve"> </v>
      </c>
    </row>
    <row r="15" spans="1:8" ht="15.6" x14ac:dyDescent="0.3">
      <c r="A15" s="159" t="s">
        <v>104</v>
      </c>
      <c r="B15" s="23" t="s">
        <v>36</v>
      </c>
      <c r="C15" s="15">
        <f>VLOOKUP($A15,moduly_podstawowe[],5,FALSE)</f>
        <v>169</v>
      </c>
      <c r="D15" s="16">
        <v>0</v>
      </c>
      <c r="E15" s="17">
        <f t="shared" si="1"/>
        <v>0</v>
      </c>
      <c r="F15" s="13">
        <f t="shared" si="0"/>
        <v>0</v>
      </c>
    </row>
    <row r="16" spans="1:8" ht="15.6" x14ac:dyDescent="0.3">
      <c r="A16" s="159" t="s">
        <v>105</v>
      </c>
      <c r="B16" s="23" t="s">
        <v>36</v>
      </c>
      <c r="C16" s="15">
        <f>VLOOKUP($A16,moduly_podstawowe[],5,FALSE)</f>
        <v>169</v>
      </c>
      <c r="D16" s="16">
        <v>0</v>
      </c>
      <c r="E16" s="17">
        <f t="shared" si="1"/>
        <v>0</v>
      </c>
      <c r="F16" s="13">
        <f t="shared" si="0"/>
        <v>0</v>
      </c>
    </row>
    <row r="17" spans="1:8" ht="15.6" x14ac:dyDescent="0.3">
      <c r="A17" s="159" t="s">
        <v>106</v>
      </c>
      <c r="B17" s="23" t="s">
        <v>36</v>
      </c>
      <c r="C17" s="15">
        <f>VLOOKUP($A17,moduly_podstawowe[],5,FALSE)</f>
        <v>169</v>
      </c>
      <c r="D17" s="16">
        <v>0</v>
      </c>
      <c r="E17" s="17">
        <f t="shared" si="1"/>
        <v>0</v>
      </c>
      <c r="F17" s="13">
        <f>IF(E17&gt;0,1,0)</f>
        <v>0</v>
      </c>
    </row>
    <row r="18" spans="1:8" ht="15.6" x14ac:dyDescent="0.3">
      <c r="A18" s="159" t="s">
        <v>107</v>
      </c>
      <c r="B18" s="23" t="s">
        <v>36</v>
      </c>
      <c r="C18" s="15">
        <f>VLOOKUP($A18,moduly_podstawowe[],5,FALSE)</f>
        <v>252</v>
      </c>
      <c r="D18" s="16">
        <v>0</v>
      </c>
      <c r="E18" s="17">
        <f t="shared" si="1"/>
        <v>0</v>
      </c>
      <c r="F18" s="13">
        <f t="shared" si="0"/>
        <v>0</v>
      </c>
    </row>
    <row r="19" spans="1:8" ht="15.6" x14ac:dyDescent="0.3">
      <c r="A19" s="159" t="s">
        <v>108</v>
      </c>
      <c r="B19" s="23" t="s">
        <v>36</v>
      </c>
      <c r="C19" s="15">
        <f>VLOOKUP($A19,moduly_podstawowe[],5,FALSE)</f>
        <v>380</v>
      </c>
      <c r="D19" s="16">
        <v>0</v>
      </c>
      <c r="E19" s="17">
        <f t="shared" si="1"/>
        <v>0</v>
      </c>
      <c r="F19" s="13">
        <f t="shared" si="0"/>
        <v>0</v>
      </c>
      <c r="H19" s="161" t="str">
        <f>IF(D19&gt;0,"zawiera pełną funcjonalność CRM oraz e-mail"," ")</f>
        <v xml:space="preserve"> </v>
      </c>
    </row>
    <row r="20" spans="1:8" ht="15.6" x14ac:dyDescent="0.3">
      <c r="A20" s="159" t="s">
        <v>249</v>
      </c>
      <c r="B20" s="23" t="s">
        <v>36</v>
      </c>
      <c r="C20" s="15">
        <f>VLOOKUP($A20,moduly_podstawowe[],5,FALSE)</f>
        <v>436</v>
      </c>
      <c r="D20" s="16">
        <v>0</v>
      </c>
      <c r="E20" s="17">
        <f t="shared" si="1"/>
        <v>0</v>
      </c>
      <c r="F20" s="13">
        <f t="shared" si="0"/>
        <v>0</v>
      </c>
      <c r="H20" s="161"/>
    </row>
    <row r="21" spans="1:8" ht="15.6" x14ac:dyDescent="0.3">
      <c r="A21" s="159" t="s">
        <v>251</v>
      </c>
      <c r="B21" s="23" t="s">
        <v>36</v>
      </c>
      <c r="C21" s="15">
        <f>VLOOKUP($A21,moduly_podstawowe[],5,FALSE)</f>
        <v>175</v>
      </c>
      <c r="D21" s="16">
        <v>0</v>
      </c>
      <c r="E21" s="17">
        <f t="shared" si="1"/>
        <v>0</v>
      </c>
      <c r="F21" s="13">
        <f t="shared" si="0"/>
        <v>0</v>
      </c>
      <c r="H21" s="161"/>
    </row>
    <row r="22" spans="1:8" ht="15.6" x14ac:dyDescent="0.3">
      <c r="A22" s="70" t="s">
        <v>109</v>
      </c>
      <c r="B22" s="23" t="s">
        <v>36</v>
      </c>
      <c r="C22" s="15">
        <f>VLOOKUP($A22,moduly_podstawowe[],5,FALSE)</f>
        <v>43</v>
      </c>
      <c r="D22" s="16">
        <v>0</v>
      </c>
      <c r="E22" s="17">
        <f t="shared" si="1"/>
        <v>0</v>
      </c>
      <c r="F22" s="13">
        <f>IF(E22&gt;0,1,0)</f>
        <v>0</v>
      </c>
    </row>
    <row r="23" spans="1:8" ht="15.6" x14ac:dyDescent="0.3">
      <c r="A23" s="70" t="s">
        <v>110</v>
      </c>
      <c r="B23" s="23" t="s">
        <v>36</v>
      </c>
      <c r="C23" s="15">
        <f>VLOOKUP($A23,moduly_podstawowe[],5,FALSE)</f>
        <v>28</v>
      </c>
      <c r="D23" s="16">
        <v>0</v>
      </c>
      <c r="E23" s="17">
        <f t="shared" si="1"/>
        <v>0</v>
      </c>
      <c r="F23" s="13">
        <f t="shared" si="0"/>
        <v>0</v>
      </c>
    </row>
    <row r="24" spans="1:8" ht="15.6" x14ac:dyDescent="0.3">
      <c r="A24" s="70" t="s">
        <v>111</v>
      </c>
      <c r="B24" s="23" t="s">
        <v>36</v>
      </c>
      <c r="C24" s="15">
        <f>VLOOKUP($A24,moduly_podstawowe[],5,FALSE)</f>
        <v>181</v>
      </c>
      <c r="D24" s="117"/>
      <c r="E24" s="17">
        <f>IF(OR(D22&gt;0,D23&gt;0),C24,0)</f>
        <v>0</v>
      </c>
      <c r="F24" s="13">
        <f>IF(E24&gt;0,1,0)</f>
        <v>0</v>
      </c>
    </row>
    <row r="25" spans="1:8" ht="15.6" x14ac:dyDescent="0.3">
      <c r="A25" s="70" t="s">
        <v>112</v>
      </c>
      <c r="B25" s="23" t="s">
        <v>36</v>
      </c>
      <c r="C25" s="15">
        <f>VLOOKUP($A25,moduly_podstawowe[],5,FALSE)</f>
        <v>126</v>
      </c>
      <c r="D25" s="16">
        <v>0</v>
      </c>
      <c r="E25" s="17">
        <f>C25*D25</f>
        <v>0</v>
      </c>
      <c r="F25" s="13">
        <f>IF(E25&gt;0,1,0)</f>
        <v>0</v>
      </c>
      <c r="H25" s="164"/>
    </row>
    <row r="26" spans="1:8" ht="15.6" x14ac:dyDescent="0.3">
      <c r="A26" s="70" t="s">
        <v>113</v>
      </c>
      <c r="B26" s="23" t="s">
        <v>36</v>
      </c>
      <c r="C26" s="15">
        <f>VLOOKUP($A26,moduly_podstawowe[],5,FALSE)</f>
        <v>337</v>
      </c>
      <c r="D26" s="16">
        <v>0</v>
      </c>
      <c r="E26" s="17">
        <f t="shared" ref="E26:E30" si="2">C26*D26</f>
        <v>0</v>
      </c>
      <c r="F26" s="13">
        <f t="shared" si="0"/>
        <v>0</v>
      </c>
    </row>
    <row r="27" spans="1:8" ht="15.6" x14ac:dyDescent="0.3">
      <c r="A27" s="159" t="s">
        <v>114</v>
      </c>
      <c r="B27" s="23" t="s">
        <v>36</v>
      </c>
      <c r="C27" s="15">
        <f>VLOOKUP($A27,moduly_podstawowe[],5,FALSE)</f>
        <v>126</v>
      </c>
      <c r="D27" s="16">
        <v>0</v>
      </c>
      <c r="E27" s="17">
        <f t="shared" si="2"/>
        <v>0</v>
      </c>
      <c r="F27" s="13">
        <f t="shared" si="0"/>
        <v>0</v>
      </c>
    </row>
    <row r="28" spans="1:8" ht="15.6" x14ac:dyDescent="0.3">
      <c r="A28" s="70" t="s">
        <v>115</v>
      </c>
      <c r="B28" s="23" t="s">
        <v>36</v>
      </c>
      <c r="C28" s="15">
        <f>VLOOKUP($A28,moduly_podstawowe[],5,FALSE)</f>
        <v>93</v>
      </c>
      <c r="D28" s="16">
        <v>0</v>
      </c>
      <c r="E28" s="17">
        <f t="shared" si="2"/>
        <v>0</v>
      </c>
      <c r="F28" s="13">
        <f t="shared" si="0"/>
        <v>0</v>
      </c>
    </row>
    <row r="29" spans="1:8" ht="15.6" x14ac:dyDescent="0.3">
      <c r="A29" s="217" t="s">
        <v>241</v>
      </c>
      <c r="B29" s="23" t="s">
        <v>36</v>
      </c>
      <c r="C29" s="15">
        <f>VLOOKUP($A29,moduly_podstawowe[],5,FALSE)</f>
        <v>61</v>
      </c>
      <c r="D29" s="16">
        <v>0</v>
      </c>
      <c r="E29" s="17">
        <f t="shared" si="2"/>
        <v>0</v>
      </c>
      <c r="F29" s="13">
        <f t="shared" si="0"/>
        <v>0</v>
      </c>
    </row>
    <row r="30" spans="1:8" ht="15.6" x14ac:dyDescent="0.3">
      <c r="A30" s="160" t="s">
        <v>242</v>
      </c>
      <c r="B30" s="23" t="s">
        <v>36</v>
      </c>
      <c r="C30" s="15">
        <f>VLOOKUP($A30,moduly_podstawowe[],5,FALSE)</f>
        <v>9</v>
      </c>
      <c r="D30" s="16">
        <v>0</v>
      </c>
      <c r="E30" s="17">
        <f t="shared" si="2"/>
        <v>0</v>
      </c>
      <c r="F30" s="13">
        <f t="shared" si="0"/>
        <v>0</v>
      </c>
    </row>
    <row r="31" spans="1:8" ht="15.6" x14ac:dyDescent="0.3">
      <c r="A31" s="259" t="s">
        <v>23</v>
      </c>
      <c r="B31" s="261"/>
      <c r="C31" s="72"/>
      <c r="D31" s="71"/>
      <c r="E31" s="35">
        <f>SUM(E4:E30)</f>
        <v>0</v>
      </c>
      <c r="F31" s="13">
        <f t="shared" si="0"/>
        <v>0</v>
      </c>
    </row>
    <row r="32" spans="1:8" customFormat="1" ht="15.6" x14ac:dyDescent="0.3">
      <c r="A32" s="237" t="s">
        <v>139</v>
      </c>
      <c r="B32" s="238"/>
      <c r="C32" s="28"/>
      <c r="D32" s="130"/>
      <c r="E32" s="127"/>
      <c r="F32" s="100">
        <f>F34</f>
        <v>0</v>
      </c>
    </row>
    <row r="33" spans="1:12" customFormat="1" ht="15.6" x14ac:dyDescent="0.3">
      <c r="A33" s="128" t="s">
        <v>165</v>
      </c>
      <c r="B33" s="16" t="s">
        <v>5</v>
      </c>
      <c r="C33" s="15" t="str">
        <f>IFERROR(VLOOKUP(SUM(D4:D21,D25:D29),BI[],5,TRUE)," ")</f>
        <v xml:space="preserve"> </v>
      </c>
      <c r="D33" s="16" t="s">
        <v>4</v>
      </c>
      <c r="E33" s="17">
        <f>IF(D33="TAK",C33,0)</f>
        <v>0</v>
      </c>
      <c r="F33" s="100">
        <f t="shared" ref="F33:F34" si="3">IF(E33&gt;0,1,0)</f>
        <v>0</v>
      </c>
    </row>
    <row r="34" spans="1:12" customFormat="1" ht="15.6" x14ac:dyDescent="0.3">
      <c r="A34" s="269" t="s">
        <v>81</v>
      </c>
      <c r="B34" s="271"/>
      <c r="C34" s="106"/>
      <c r="D34" s="107"/>
      <c r="E34" s="20">
        <f>SUM(E33:E33)</f>
        <v>0</v>
      </c>
      <c r="F34" s="100">
        <f t="shared" si="3"/>
        <v>0</v>
      </c>
    </row>
    <row r="35" spans="1:12" ht="47.25" customHeight="1" x14ac:dyDescent="0.3">
      <c r="A35" s="239" t="s">
        <v>144</v>
      </c>
      <c r="B35" s="280"/>
      <c r="C35" s="84" t="s">
        <v>73</v>
      </c>
      <c r="D35" s="56"/>
      <c r="E35" s="85"/>
      <c r="F35" s="13">
        <f>F63</f>
        <v>0</v>
      </c>
    </row>
    <row r="36" spans="1:12" ht="15.6" x14ac:dyDescent="0.3">
      <c r="A36" s="235" t="s">
        <v>86</v>
      </c>
      <c r="B36" s="236"/>
      <c r="C36" s="18">
        <f>VLOOKUP($A36,moduly_dodatkowe[],2,FALSE)</f>
        <v>171</v>
      </c>
      <c r="D36" s="16" t="s">
        <v>4</v>
      </c>
      <c r="E36" s="17">
        <v>0</v>
      </c>
      <c r="F36" s="13">
        <f t="shared" ref="F36:F62" si="4">IF(D36="TAK",1,0)</f>
        <v>0</v>
      </c>
      <c r="G36" s="290"/>
      <c r="H36" s="290"/>
      <c r="I36" s="290"/>
      <c r="J36" s="290"/>
      <c r="K36" s="290"/>
      <c r="L36" s="290"/>
    </row>
    <row r="37" spans="1:12" ht="15.6" x14ac:dyDescent="0.3">
      <c r="A37" s="235" t="s">
        <v>45</v>
      </c>
      <c r="B37" s="236"/>
      <c r="C37" s="18">
        <f>VLOOKUP($A37,moduly_dodatkowe[],2,FALSE)</f>
        <v>171</v>
      </c>
      <c r="D37" s="16" t="s">
        <v>4</v>
      </c>
      <c r="E37" s="17">
        <v>0</v>
      </c>
      <c r="F37" s="13">
        <f t="shared" si="4"/>
        <v>0</v>
      </c>
    </row>
    <row r="38" spans="1:12" ht="15.6" x14ac:dyDescent="0.3">
      <c r="A38" s="235" t="s">
        <v>87</v>
      </c>
      <c r="B38" s="236"/>
      <c r="C38" s="18">
        <f>VLOOKUP($A38,moduly_dodatkowe[],2,FALSE)</f>
        <v>518</v>
      </c>
      <c r="D38" s="16" t="s">
        <v>4</v>
      </c>
      <c r="E38" s="17">
        <v>0</v>
      </c>
      <c r="F38" s="13">
        <f t="shared" si="4"/>
        <v>0</v>
      </c>
    </row>
    <row r="39" spans="1:12" ht="15.6" x14ac:dyDescent="0.3">
      <c r="A39" s="235" t="s">
        <v>88</v>
      </c>
      <c r="B39" s="236"/>
      <c r="C39" s="18">
        <f>VLOOKUP($A39,moduly_dodatkowe[],2,FALSE)</f>
        <v>48</v>
      </c>
      <c r="D39" s="16" t="s">
        <v>4</v>
      </c>
      <c r="E39" s="17">
        <v>0</v>
      </c>
      <c r="F39" s="13">
        <f t="shared" si="4"/>
        <v>0</v>
      </c>
    </row>
    <row r="40" spans="1:12" ht="15.6" x14ac:dyDescent="0.3">
      <c r="A40" s="235" t="s">
        <v>46</v>
      </c>
      <c r="B40" s="236"/>
      <c r="C40" s="18">
        <f>VLOOKUP($A40,moduly_dodatkowe[],2,FALSE)</f>
        <v>137</v>
      </c>
      <c r="D40" s="16" t="s">
        <v>4</v>
      </c>
      <c r="E40" s="17">
        <v>0</v>
      </c>
      <c r="F40" s="13">
        <f t="shared" si="4"/>
        <v>0</v>
      </c>
    </row>
    <row r="41" spans="1:12" ht="15.6" x14ac:dyDescent="0.3">
      <c r="A41" s="235" t="s">
        <v>89</v>
      </c>
      <c r="B41" s="236"/>
      <c r="C41" s="18">
        <f>VLOOKUP($A41,moduly_dodatkowe[],2,FALSE)</f>
        <v>137</v>
      </c>
      <c r="D41" s="16" t="s">
        <v>4</v>
      </c>
      <c r="E41" s="17">
        <v>0</v>
      </c>
      <c r="F41" s="13">
        <f t="shared" si="4"/>
        <v>0</v>
      </c>
    </row>
    <row r="42" spans="1:12" ht="15.6" x14ac:dyDescent="0.3">
      <c r="A42" s="235" t="s">
        <v>85</v>
      </c>
      <c r="B42" s="236"/>
      <c r="C42" s="18">
        <f>VLOOKUP($A42,moduly_dodatkowe[],2,FALSE)</f>
        <v>103</v>
      </c>
      <c r="D42" s="16" t="s">
        <v>4</v>
      </c>
      <c r="E42" s="17">
        <v>0</v>
      </c>
      <c r="F42" s="13">
        <f t="shared" si="4"/>
        <v>0</v>
      </c>
    </row>
    <row r="43" spans="1:12" ht="15.6" x14ac:dyDescent="0.3">
      <c r="A43" s="198" t="s">
        <v>215</v>
      </c>
      <c r="B43" s="199"/>
      <c r="C43" s="18">
        <v>250</v>
      </c>
      <c r="D43" s="16" t="s">
        <v>4</v>
      </c>
      <c r="E43" s="17">
        <v>0</v>
      </c>
      <c r="F43" s="13">
        <f t="shared" si="4"/>
        <v>0</v>
      </c>
    </row>
    <row r="44" spans="1:12" ht="15.6" x14ac:dyDescent="0.3">
      <c r="A44" s="235" t="s">
        <v>163</v>
      </c>
      <c r="B44" s="236"/>
      <c r="C44" s="18">
        <f>VLOOKUP($A44,moduly_dodatkowe[],2,FALSE)</f>
        <v>62</v>
      </c>
      <c r="D44" s="16" t="s">
        <v>4</v>
      </c>
      <c r="E44" s="17">
        <v>0</v>
      </c>
      <c r="F44" s="13">
        <f t="shared" si="4"/>
        <v>0</v>
      </c>
    </row>
    <row r="45" spans="1:12" ht="15.6" x14ac:dyDescent="0.3">
      <c r="A45" s="235" t="s">
        <v>247</v>
      </c>
      <c r="B45" s="249"/>
      <c r="C45" s="18">
        <f>VLOOKUP($A45,moduly_dodatkowe[],2,FALSE)</f>
        <v>165</v>
      </c>
      <c r="D45" s="16" t="s">
        <v>4</v>
      </c>
      <c r="E45" s="17">
        <v>0</v>
      </c>
      <c r="F45" s="13">
        <f t="shared" si="4"/>
        <v>0</v>
      </c>
    </row>
    <row r="46" spans="1:12" ht="15.6" x14ac:dyDescent="0.3">
      <c r="A46" s="235" t="s">
        <v>79</v>
      </c>
      <c r="B46" s="236"/>
      <c r="C46" s="18">
        <f>VLOOKUP($A46,moduly_dodatkowe[],2,FALSE)</f>
        <v>171</v>
      </c>
      <c r="D46" s="16" t="s">
        <v>4</v>
      </c>
      <c r="E46" s="17">
        <v>0</v>
      </c>
      <c r="F46" s="13">
        <f t="shared" si="4"/>
        <v>0</v>
      </c>
    </row>
    <row r="47" spans="1:12" ht="15.6" x14ac:dyDescent="0.3">
      <c r="A47" s="235" t="s">
        <v>40</v>
      </c>
      <c r="B47" s="236"/>
      <c r="C47" s="18">
        <f>VLOOKUP($A47,moduly_dodatkowe[],2,FALSE)</f>
        <v>137</v>
      </c>
      <c r="D47" s="16" t="s">
        <v>4</v>
      </c>
      <c r="E47" s="17">
        <v>0</v>
      </c>
      <c r="F47" s="13">
        <f t="shared" si="4"/>
        <v>0</v>
      </c>
    </row>
    <row r="48" spans="1:12" ht="15.6" x14ac:dyDescent="0.3">
      <c r="A48" s="235" t="s">
        <v>41</v>
      </c>
      <c r="B48" s="236"/>
      <c r="C48" s="18">
        <f>VLOOKUP($A48,moduly_dodatkowe[],2,FALSE)</f>
        <v>151</v>
      </c>
      <c r="D48" s="16" t="s">
        <v>4</v>
      </c>
      <c r="E48" s="17">
        <v>0</v>
      </c>
      <c r="F48" s="13">
        <f t="shared" si="4"/>
        <v>0</v>
      </c>
    </row>
    <row r="49" spans="1:8" ht="15.6" x14ac:dyDescent="0.3">
      <c r="A49" s="235" t="s">
        <v>42</v>
      </c>
      <c r="B49" s="236"/>
      <c r="C49" s="18">
        <f>VLOOKUP($A49,moduly_dodatkowe[],2,FALSE)</f>
        <v>171</v>
      </c>
      <c r="D49" s="16" t="s">
        <v>4</v>
      </c>
      <c r="E49" s="17">
        <v>0</v>
      </c>
      <c r="F49" s="13">
        <f t="shared" si="4"/>
        <v>0</v>
      </c>
    </row>
    <row r="50" spans="1:8" ht="15.6" x14ac:dyDescent="0.3">
      <c r="A50" s="235" t="s">
        <v>43</v>
      </c>
      <c r="B50" s="236"/>
      <c r="C50" s="18">
        <f>VLOOKUP($A50,moduly_dodatkowe[],2,FALSE)</f>
        <v>103</v>
      </c>
      <c r="D50" s="16" t="s">
        <v>4</v>
      </c>
      <c r="E50" s="17">
        <v>0</v>
      </c>
      <c r="F50" s="13">
        <f t="shared" si="4"/>
        <v>0</v>
      </c>
    </row>
    <row r="51" spans="1:8" ht="15.6" x14ac:dyDescent="0.3">
      <c r="A51" s="235" t="s">
        <v>44</v>
      </c>
      <c r="B51" s="236"/>
      <c r="C51" s="18">
        <f>VLOOKUP($A51,moduly_dodatkowe[],2,FALSE)</f>
        <v>103</v>
      </c>
      <c r="D51" s="16" t="s">
        <v>4</v>
      </c>
      <c r="E51" s="17">
        <v>0</v>
      </c>
      <c r="F51" s="13">
        <f t="shared" si="4"/>
        <v>0</v>
      </c>
    </row>
    <row r="52" spans="1:8" ht="15.6" x14ac:dyDescent="0.3">
      <c r="A52" s="235" t="s">
        <v>51</v>
      </c>
      <c r="B52" s="236"/>
      <c r="C52" s="18">
        <f>VLOOKUP($A52,moduly_dodatkowe[],2,FALSE)</f>
        <v>50</v>
      </c>
      <c r="D52" s="16" t="s">
        <v>4</v>
      </c>
      <c r="E52" s="17">
        <v>0</v>
      </c>
      <c r="F52" s="13">
        <f t="shared" si="4"/>
        <v>0</v>
      </c>
    </row>
    <row r="53" spans="1:8" ht="15.6" x14ac:dyDescent="0.3">
      <c r="A53" s="235" t="s">
        <v>90</v>
      </c>
      <c r="B53" s="236"/>
      <c r="C53" s="18">
        <f>VLOOKUP($A53,moduly_dodatkowe[],2,FALSE)</f>
        <v>13</v>
      </c>
      <c r="D53" s="16" t="s">
        <v>4</v>
      </c>
      <c r="E53" s="17">
        <v>0</v>
      </c>
      <c r="F53" s="13">
        <f t="shared" si="4"/>
        <v>0</v>
      </c>
    </row>
    <row r="54" spans="1:8" ht="15.6" x14ac:dyDescent="0.3">
      <c r="A54" s="235" t="s">
        <v>50</v>
      </c>
      <c r="B54" s="236"/>
      <c r="C54" s="18">
        <f>VLOOKUP($A54,moduly_dodatkowe[],2,FALSE)</f>
        <v>137</v>
      </c>
      <c r="D54" s="16" t="s">
        <v>4</v>
      </c>
      <c r="E54" s="17">
        <v>0</v>
      </c>
      <c r="F54" s="13">
        <f t="shared" si="4"/>
        <v>0</v>
      </c>
    </row>
    <row r="55" spans="1:8" ht="15.6" x14ac:dyDescent="0.3">
      <c r="A55" s="235" t="s">
        <v>135</v>
      </c>
      <c r="B55" s="236"/>
      <c r="C55" s="18">
        <f>VLOOKUP($A55,moduly_dodatkowe[],2,FALSE)</f>
        <v>167</v>
      </c>
      <c r="D55" s="16" t="s">
        <v>4</v>
      </c>
      <c r="E55" s="17">
        <v>0</v>
      </c>
      <c r="F55" s="13">
        <f t="shared" si="4"/>
        <v>0</v>
      </c>
    </row>
    <row r="56" spans="1:8" ht="15.6" x14ac:dyDescent="0.3">
      <c r="A56" s="235" t="s">
        <v>83</v>
      </c>
      <c r="B56" s="236"/>
      <c r="C56" s="18">
        <f>VLOOKUP($A56,moduly_dodatkowe[],2,FALSE)</f>
        <v>344</v>
      </c>
      <c r="D56" s="16" t="s">
        <v>4</v>
      </c>
      <c r="E56" s="17">
        <v>0</v>
      </c>
      <c r="F56" s="13">
        <f t="shared" si="4"/>
        <v>0</v>
      </c>
    </row>
    <row r="57" spans="1:8" ht="15.6" x14ac:dyDescent="0.3">
      <c r="A57" s="235" t="s">
        <v>164</v>
      </c>
      <c r="B57" s="236"/>
      <c r="C57" s="18">
        <f>VLOOKUP($A57,moduly_dodatkowe[],2,FALSE)</f>
        <v>112</v>
      </c>
      <c r="D57" s="16" t="s">
        <v>4</v>
      </c>
      <c r="E57" s="17">
        <v>0</v>
      </c>
      <c r="F57" s="13">
        <f t="shared" si="4"/>
        <v>0</v>
      </c>
    </row>
    <row r="58" spans="1:8" ht="15.6" x14ac:dyDescent="0.3">
      <c r="A58" s="235" t="s">
        <v>48</v>
      </c>
      <c r="B58" s="236"/>
      <c r="C58" s="18">
        <f>VLOOKUP($A58,moduly_dodatkowe[],2,FALSE)</f>
        <v>62</v>
      </c>
      <c r="D58" s="16" t="s">
        <v>4</v>
      </c>
      <c r="E58" s="17">
        <v>0</v>
      </c>
      <c r="F58" s="13">
        <f t="shared" si="4"/>
        <v>0</v>
      </c>
    </row>
    <row r="59" spans="1:8" ht="15.6" x14ac:dyDescent="0.3">
      <c r="A59" s="235" t="s">
        <v>49</v>
      </c>
      <c r="B59" s="236"/>
      <c r="C59" s="18">
        <f>VLOOKUP($A59,moduly_dodatkowe[],2,FALSE)</f>
        <v>62</v>
      </c>
      <c r="D59" s="16" t="s">
        <v>4</v>
      </c>
      <c r="E59" s="17">
        <v>0</v>
      </c>
      <c r="F59" s="13">
        <f t="shared" si="4"/>
        <v>0</v>
      </c>
    </row>
    <row r="60" spans="1:8" ht="15.6" x14ac:dyDescent="0.3">
      <c r="A60" s="235" t="s">
        <v>63</v>
      </c>
      <c r="B60" s="236"/>
      <c r="C60" s="18">
        <f>VLOOKUP($A60,moduly_dodatkowe[],2,FALSE)</f>
        <v>137</v>
      </c>
      <c r="D60" s="16" t="s">
        <v>4</v>
      </c>
      <c r="E60" s="17">
        <v>0</v>
      </c>
      <c r="F60" s="13">
        <f t="shared" si="4"/>
        <v>0</v>
      </c>
    </row>
    <row r="61" spans="1:8" ht="15.6" x14ac:dyDescent="0.3">
      <c r="A61" s="235" t="s">
        <v>245</v>
      </c>
      <c r="B61" s="249"/>
      <c r="C61" s="18">
        <f>VLOOKUP($A61,moduly_dodatkowe[],2,FALSE)</f>
        <v>126</v>
      </c>
      <c r="D61" s="16" t="s">
        <v>4</v>
      </c>
      <c r="E61" s="17">
        <v>0</v>
      </c>
      <c r="F61" s="13">
        <f t="shared" si="4"/>
        <v>0</v>
      </c>
    </row>
    <row r="62" spans="1:8" ht="15.6" x14ac:dyDescent="0.3">
      <c r="A62" s="235" t="s">
        <v>246</v>
      </c>
      <c r="B62" s="249"/>
      <c r="C62" s="18">
        <f>VLOOKUP($A62,moduly_dodatkowe[],2,FALSE)</f>
        <v>747</v>
      </c>
      <c r="D62" s="16" t="s">
        <v>4</v>
      </c>
      <c r="E62" s="17">
        <f>IF(D62="TAK",C62,0)</f>
        <v>0</v>
      </c>
      <c r="F62" s="13">
        <f t="shared" si="4"/>
        <v>0</v>
      </c>
      <c r="H62" s="221" t="str">
        <f>IF(D62="TAK","dodatek płatny dla wszystkich wersji kolorystycznych enova365"," ")</f>
        <v xml:space="preserve"> </v>
      </c>
    </row>
    <row r="63" spans="1:8" ht="15.6" x14ac:dyDescent="0.3">
      <c r="A63" s="259" t="s">
        <v>35</v>
      </c>
      <c r="B63" s="260"/>
      <c r="C63" s="72"/>
      <c r="D63" s="71"/>
      <c r="E63" s="35">
        <f>SUM(E36:E62)</f>
        <v>0</v>
      </c>
      <c r="F63" s="13">
        <f>IF(SUM(F36:F60)&gt;0,1,0)</f>
        <v>0</v>
      </c>
    </row>
    <row r="64" spans="1:8" ht="33.6" customHeight="1" x14ac:dyDescent="0.3">
      <c r="A64" s="239" t="s">
        <v>145</v>
      </c>
      <c r="B64" s="280"/>
      <c r="C64" s="60"/>
      <c r="D64" s="56" t="s">
        <v>34</v>
      </c>
      <c r="E64" s="61"/>
      <c r="F64" s="13">
        <f>F65</f>
        <v>0</v>
      </c>
    </row>
    <row r="65" spans="1:8" ht="15.6" x14ac:dyDescent="0.3">
      <c r="A65" s="32" t="s">
        <v>57</v>
      </c>
      <c r="B65" s="23" t="s">
        <v>4</v>
      </c>
      <c r="C65" s="18" t="s">
        <v>33</v>
      </c>
      <c r="D65" s="16">
        <v>0</v>
      </c>
      <c r="E65" s="17">
        <v>0</v>
      </c>
      <c r="F65" s="13">
        <f>IF(B65="TAK",1,0)</f>
        <v>0</v>
      </c>
    </row>
    <row r="66" spans="1:8" ht="15.6" x14ac:dyDescent="0.3">
      <c r="A66" s="259" t="s">
        <v>12</v>
      </c>
      <c r="B66" s="261"/>
      <c r="C66" s="72"/>
      <c r="D66" s="71"/>
      <c r="E66" s="35">
        <f>SUM(E65:E65)</f>
        <v>0</v>
      </c>
      <c r="F66" s="13">
        <f>F65</f>
        <v>0</v>
      </c>
    </row>
    <row r="67" spans="1:8" ht="15.6" x14ac:dyDescent="0.3">
      <c r="A67" s="93" t="s">
        <v>31</v>
      </c>
      <c r="B67" s="56"/>
      <c r="C67" s="56"/>
      <c r="D67" s="56" t="s">
        <v>28</v>
      </c>
      <c r="E67" s="57"/>
      <c r="F67" s="13">
        <f>IF(E75&gt;0,1,0)</f>
        <v>0</v>
      </c>
    </row>
    <row r="68" spans="1:8" ht="15.6" x14ac:dyDescent="0.3">
      <c r="A68" s="32" t="s">
        <v>53</v>
      </c>
      <c r="B68" s="23" t="s">
        <v>4</v>
      </c>
      <c r="C68" s="15">
        <f>VLOOKUP(D68,pulpity_KP[],2,FALSE)</f>
        <v>206</v>
      </c>
      <c r="D68" s="16" t="s">
        <v>151</v>
      </c>
      <c r="E68" s="17">
        <f>IF(B68="TAK",C68,0)</f>
        <v>0</v>
      </c>
      <c r="F68" s="13">
        <f t="shared" ref="F68:F80" si="5">IF(E68&gt;0,1,0)</f>
        <v>0</v>
      </c>
    </row>
    <row r="69" spans="1:8" ht="15.6" x14ac:dyDescent="0.3">
      <c r="A69" s="32" t="s">
        <v>25</v>
      </c>
      <c r="B69" s="23" t="s">
        <v>4</v>
      </c>
      <c r="C69" s="15">
        <f>VLOOKUP(A69,pulpity_KP[],2,FALSE)</f>
        <v>14</v>
      </c>
      <c r="D69" s="16">
        <v>0</v>
      </c>
      <c r="E69" s="17">
        <f>IF(B69="TAK",C69*D69,0)</f>
        <v>0</v>
      </c>
      <c r="F69" s="13">
        <f t="shared" si="5"/>
        <v>0</v>
      </c>
    </row>
    <row r="70" spans="1:8" ht="15.6" x14ac:dyDescent="0.3">
      <c r="A70" s="32" t="s">
        <v>84</v>
      </c>
      <c r="B70" s="23" t="s">
        <v>4</v>
      </c>
      <c r="C70" s="15">
        <f>VLOOKUP(A70,pulpity_KP[],2,FALSE)</f>
        <v>342</v>
      </c>
      <c r="D70" s="15"/>
      <c r="E70" s="17">
        <f>IF(B70="TAK",C70,0)</f>
        <v>0</v>
      </c>
      <c r="F70" s="13">
        <f>IF(E70&gt;0,1,0)</f>
        <v>0</v>
      </c>
    </row>
    <row r="71" spans="1:8" ht="15.6" x14ac:dyDescent="0.3">
      <c r="A71" s="32" t="s">
        <v>64</v>
      </c>
      <c r="B71" s="23" t="s">
        <v>4</v>
      </c>
      <c r="C71" s="15">
        <f>VLOOKUP(D71,pulpity_HA[],2,FALSE)</f>
        <v>164</v>
      </c>
      <c r="D71" s="16" t="s">
        <v>151</v>
      </c>
      <c r="E71" s="17">
        <f t="shared" ref="E71:E74" si="6">IF(B71="TAK",C71,0)</f>
        <v>0</v>
      </c>
      <c r="F71" s="13">
        <f t="shared" si="5"/>
        <v>0</v>
      </c>
    </row>
    <row r="72" spans="1:8" ht="15.6" x14ac:dyDescent="0.3">
      <c r="A72" s="32" t="s">
        <v>65</v>
      </c>
      <c r="B72" s="23" t="s">
        <v>4</v>
      </c>
      <c r="C72" s="15">
        <f>VLOOKUP(D72,pulpity_WF[],2,FALSE)</f>
        <v>103</v>
      </c>
      <c r="D72" s="16" t="s">
        <v>151</v>
      </c>
      <c r="E72" s="17">
        <f t="shared" si="6"/>
        <v>0</v>
      </c>
      <c r="F72" s="13">
        <f t="shared" ref="F72" si="7">IF(E72&gt;0,1,0)</f>
        <v>0</v>
      </c>
    </row>
    <row r="73" spans="1:8" ht="15.6" x14ac:dyDescent="0.3">
      <c r="A73" s="32" t="s">
        <v>192</v>
      </c>
      <c r="B73" s="23" t="s">
        <v>4</v>
      </c>
      <c r="C73" s="15">
        <f>VLOOKUP(D73,pulpity_BI[],2,FALSE)</f>
        <v>59</v>
      </c>
      <c r="D73" s="16" t="s">
        <v>151</v>
      </c>
      <c r="E73" s="17">
        <f t="shared" si="6"/>
        <v>0</v>
      </c>
      <c r="F73" s="13">
        <f t="shared" si="5"/>
        <v>0</v>
      </c>
      <c r="H73" s="197" t="str">
        <f>IF(B76="TAK","ceny promocyjne do 30.06.2021"," ")</f>
        <v xml:space="preserve"> </v>
      </c>
    </row>
    <row r="74" spans="1:8" ht="15.6" x14ac:dyDescent="0.3">
      <c r="A74" s="32" t="s">
        <v>244</v>
      </c>
      <c r="B74" s="23" t="s">
        <v>4</v>
      </c>
      <c r="C74" s="15">
        <f>VLOOKUP(D74,enova365_Praca_Hybrydowa_w_Pulpitach,2,FALSE)</f>
        <v>98</v>
      </c>
      <c r="D74" s="16" t="s">
        <v>151</v>
      </c>
      <c r="E74" s="17">
        <f t="shared" si="6"/>
        <v>0</v>
      </c>
      <c r="F74" s="13">
        <f t="shared" si="5"/>
        <v>0</v>
      </c>
      <c r="H74" s="197"/>
    </row>
    <row r="75" spans="1:8" ht="15.6" x14ac:dyDescent="0.3">
      <c r="A75" s="36" t="s">
        <v>27</v>
      </c>
      <c r="B75" s="264"/>
      <c r="C75" s="261"/>
      <c r="D75" s="46"/>
      <c r="E75" s="35">
        <f>SUM(E68:E74)</f>
        <v>0</v>
      </c>
      <c r="F75" s="13">
        <f t="shared" si="5"/>
        <v>0</v>
      </c>
    </row>
    <row r="76" spans="1:8" ht="15.6" x14ac:dyDescent="0.3">
      <c r="A76" s="284" t="s">
        <v>71</v>
      </c>
      <c r="B76" s="286"/>
      <c r="C76" s="287"/>
      <c r="D76" s="52" t="s">
        <v>182</v>
      </c>
      <c r="E76" s="35"/>
      <c r="F76" s="13">
        <f>IF(E77&gt;0,1,0)</f>
        <v>0</v>
      </c>
    </row>
    <row r="77" spans="1:8" ht="15.6" x14ac:dyDescent="0.3">
      <c r="A77" s="285"/>
      <c r="B77" s="288" t="s">
        <v>146</v>
      </c>
      <c r="C77" s="289"/>
      <c r="D77" s="86"/>
      <c r="E77" s="35">
        <f>(E75*(VLOOKUP("dopłata za kolejną bazę",pulpity_KBR[],2,FALSE)))*(D77)</f>
        <v>0</v>
      </c>
      <c r="F77" s="13">
        <f t="shared" si="5"/>
        <v>0</v>
      </c>
    </row>
    <row r="78" spans="1:8" ht="15.6" x14ac:dyDescent="0.3">
      <c r="A78" s="36"/>
      <c r="B78" s="264"/>
      <c r="C78" s="261"/>
      <c r="D78" s="33"/>
      <c r="E78" s="35"/>
      <c r="F78" s="13">
        <f t="shared" si="5"/>
        <v>0</v>
      </c>
    </row>
    <row r="79" spans="1:8" ht="15.6" x14ac:dyDescent="0.3">
      <c r="A79" s="36" t="s">
        <v>70</v>
      </c>
      <c r="B79" s="264"/>
      <c r="C79" s="261"/>
      <c r="D79" s="46"/>
      <c r="E79" s="35">
        <f>E77+E75</f>
        <v>0</v>
      </c>
      <c r="F79" s="13">
        <f t="shared" si="5"/>
        <v>0</v>
      </c>
    </row>
    <row r="80" spans="1:8" ht="15" customHeight="1" x14ac:dyDescent="0.35">
      <c r="A80" s="89" t="s">
        <v>58</v>
      </c>
      <c r="B80" s="90"/>
      <c r="C80" s="91"/>
      <c r="D80" s="134"/>
      <c r="E80" s="132">
        <f>E31+E63+E66+E34</f>
        <v>0</v>
      </c>
      <c r="F80" s="88">
        <f t="shared" si="5"/>
        <v>0</v>
      </c>
    </row>
    <row r="81" spans="1:8" ht="31.2" x14ac:dyDescent="0.35">
      <c r="A81" s="73" t="s">
        <v>59</v>
      </c>
      <c r="B81" s="281" t="s">
        <v>183</v>
      </c>
      <c r="C81" s="283"/>
      <c r="D81" s="74" t="s">
        <v>182</v>
      </c>
      <c r="E81" s="138">
        <f>IF(AND(D82&gt;5,D82&lt;11),(E80*(D82-5)*0.1),IF(AND(D82&gt;10,D82&lt;21),(E80*5*0.1+E80*(D82-10)*5%),IF(AND(D82&gt;20,D82&lt;51),(E80*5*10%+E80*10*5%+E80*(D82-20)*2.5%),IF(D82&gt;50,(E80*5*10%+E80*10*5%+E80*30*2.5%+E80*(D82-50)*1%),0))))</f>
        <v>0</v>
      </c>
      <c r="F81" s="88">
        <f>IF(E81&gt;0,1,0)</f>
        <v>0</v>
      </c>
    </row>
    <row r="82" spans="1:8" ht="15.75" customHeight="1" x14ac:dyDescent="0.3">
      <c r="A82" s="75"/>
      <c r="B82" s="135"/>
      <c r="C82" s="136"/>
      <c r="D82" s="86">
        <v>0</v>
      </c>
      <c r="E82" s="133"/>
      <c r="F82" s="88">
        <f>IF(D82&gt;0,1,0)</f>
        <v>0</v>
      </c>
    </row>
    <row r="83" spans="1:8" ht="20.25" customHeight="1" x14ac:dyDescent="0.35">
      <c r="A83" s="76" t="s">
        <v>61</v>
      </c>
      <c r="B83" s="77"/>
      <c r="C83" s="77"/>
      <c r="D83" s="77"/>
      <c r="E83" s="78">
        <f>E80+E81+E79</f>
        <v>0</v>
      </c>
      <c r="F83" s="13">
        <f t="shared" ref="F83:F91" si="8">IF(E83&gt;0,1,0)</f>
        <v>0</v>
      </c>
    </row>
    <row r="84" spans="1:8" s="131" customFormat="1" ht="19.5" customHeight="1" x14ac:dyDescent="0.35">
      <c r="A84" s="79"/>
      <c r="B84" s="96" t="s">
        <v>13</v>
      </c>
      <c r="C84" s="97">
        <v>0</v>
      </c>
      <c r="D84" s="98" t="s">
        <v>4</v>
      </c>
      <c r="E84" s="99">
        <f>IF(D84="TAK",E83*C84,0)</f>
        <v>0</v>
      </c>
      <c r="F84" s="13">
        <f t="shared" si="8"/>
        <v>0</v>
      </c>
    </row>
    <row r="85" spans="1:8" ht="18.75" customHeight="1" x14ac:dyDescent="0.35">
      <c r="A85" s="80"/>
      <c r="B85" s="77" t="s">
        <v>14</v>
      </c>
      <c r="C85" s="156"/>
      <c r="D85" s="157"/>
      <c r="E85" s="158">
        <f>E84</f>
        <v>0</v>
      </c>
      <c r="F85" s="13">
        <f t="shared" si="8"/>
        <v>0</v>
      </c>
    </row>
    <row r="86" spans="1:8" ht="18.75" customHeight="1" x14ac:dyDescent="0.3">
      <c r="A86" s="93" t="s">
        <v>236</v>
      </c>
      <c r="B86" s="21"/>
      <c r="C86" s="28"/>
      <c r="D86" s="108" t="s">
        <v>29</v>
      </c>
      <c r="E86" s="22"/>
      <c r="F86" s="13">
        <f t="shared" si="8"/>
        <v>0</v>
      </c>
    </row>
    <row r="87" spans="1:8" ht="30.6" customHeight="1" x14ac:dyDescent="0.3">
      <c r="A87" s="32" t="s">
        <v>125</v>
      </c>
      <c r="B87" s="246" t="s">
        <v>234</v>
      </c>
      <c r="C87" s="247"/>
      <c r="D87" s="247"/>
      <c r="E87" s="248"/>
      <c r="F87" s="13">
        <f t="shared" si="8"/>
        <v>0</v>
      </c>
      <c r="H87" s="166"/>
    </row>
    <row r="88" spans="1:8" ht="34.200000000000003" customHeight="1" x14ac:dyDescent="0.3">
      <c r="A88" s="32" t="s">
        <v>126</v>
      </c>
      <c r="B88" s="146" t="s">
        <v>4</v>
      </c>
      <c r="C88" s="15">
        <f>IF(D88="5 000 stron rocznie",'Cennik enova365'!B156,IF(D88="10 000 stron rocznie",'Cennik enova365'!B157,IF(D88="15 000 stron rocznie",'Cennik enova365'!B158,IF(D88="20 000 stron rocznie",'Cennik enova365'!B159,IF(D88="25 000 stron rocznie",'Cennik enova365'!B160,IF(D88="30 000 stron rocznie",'Cennik enova365'!B161,IF(D88="35 000 stron rocznie",'Cennik enova365'!B162,IF(D88="40 000 stron rocznie",'Cennik enova365'!B163,IF(D88="45 000 stron rocznie",'Cennik enova365'!B164,IF(D88="50 000 stron rocznie",'Cennik enova365'!B165,IF(D88="55 000 stron rocznie",'Cennik enova365'!B166,IF(D88="60 000 stron rocznie",'Cennik enova365'!B167,IF(D88="powyżej 60 000 stron rocznie",'Cennik enova365'!B168)))))))))))))</f>
        <v>934</v>
      </c>
      <c r="D88" s="111" t="s">
        <v>129</v>
      </c>
      <c r="E88" s="151">
        <f>IF(B88="TAK",C88,0)</f>
        <v>0</v>
      </c>
      <c r="F88" s="13">
        <f t="shared" si="8"/>
        <v>0</v>
      </c>
      <c r="H88" s="166" t="s">
        <v>238</v>
      </c>
    </row>
    <row r="89" spans="1:8" ht="18.75" customHeight="1" x14ac:dyDescent="0.3">
      <c r="A89" s="36" t="s">
        <v>128</v>
      </c>
      <c r="B89" s="33"/>
      <c r="C89" s="34"/>
      <c r="D89" s="33"/>
      <c r="E89" s="35">
        <f>SUM(E87:E88)</f>
        <v>0</v>
      </c>
      <c r="F89" s="13">
        <f t="shared" si="8"/>
        <v>0</v>
      </c>
    </row>
    <row r="90" spans="1:8" ht="17.399999999999999" x14ac:dyDescent="0.35">
      <c r="A90" s="63" t="s">
        <v>15</v>
      </c>
      <c r="B90" s="81"/>
      <c r="C90" s="81"/>
      <c r="D90" s="81"/>
      <c r="E90" s="82">
        <f>E83-E85+E89</f>
        <v>0</v>
      </c>
      <c r="F90" s="13">
        <f t="shared" si="8"/>
        <v>0</v>
      </c>
    </row>
    <row r="91" spans="1:8" ht="15.6" x14ac:dyDescent="0.3">
      <c r="A91" s="64" t="s">
        <v>16</v>
      </c>
      <c r="B91" s="65"/>
      <c r="C91" s="65"/>
      <c r="D91" s="65"/>
      <c r="E91" s="66">
        <f>E90*1.23</f>
        <v>0</v>
      </c>
      <c r="F91" s="13">
        <f t="shared" si="8"/>
        <v>0</v>
      </c>
    </row>
    <row r="92" spans="1:8" x14ac:dyDescent="0.3">
      <c r="A92" s="42" t="s">
        <v>74</v>
      </c>
      <c r="B92" s="43"/>
      <c r="F92" s="13">
        <v>1</v>
      </c>
    </row>
    <row r="93" spans="1:8" x14ac:dyDescent="0.3">
      <c r="A93" s="42" t="s">
        <v>75</v>
      </c>
      <c r="B93" s="43"/>
      <c r="F93" s="13">
        <v>1</v>
      </c>
    </row>
    <row r="94" spans="1:8" x14ac:dyDescent="0.3">
      <c r="A94" s="44" t="s">
        <v>76</v>
      </c>
      <c r="B94" s="45"/>
      <c r="F94" s="13">
        <v>1</v>
      </c>
    </row>
    <row r="96" spans="1:8" ht="21" x14ac:dyDescent="0.3">
      <c r="A96" s="230" t="s">
        <v>193</v>
      </c>
      <c r="B96" s="231"/>
      <c r="C96" s="231"/>
      <c r="D96" s="231"/>
      <c r="E96" s="231"/>
    </row>
    <row r="97" spans="1:8" ht="60.6" customHeight="1" x14ac:dyDescent="0.3">
      <c r="A97" s="242" t="s">
        <v>211</v>
      </c>
      <c r="B97" s="242"/>
      <c r="C97" s="242"/>
      <c r="D97" s="242"/>
      <c r="E97" s="242"/>
      <c r="F97" s="114"/>
    </row>
    <row r="98" spans="1:8" x14ac:dyDescent="0.3">
      <c r="B98"/>
      <c r="C98"/>
      <c r="D98"/>
      <c r="E98"/>
      <c r="F98" s="114"/>
    </row>
    <row r="99" spans="1:8" ht="23.4" x14ac:dyDescent="0.45">
      <c r="A99" s="243" t="s">
        <v>184</v>
      </c>
      <c r="B99" s="243"/>
      <c r="C99" s="243"/>
      <c r="D99" s="243"/>
      <c r="E99" s="243"/>
      <c r="H99" s="139"/>
    </row>
    <row r="100" spans="1:8" x14ac:dyDescent="0.3">
      <c r="E100" s="140"/>
      <c r="F100" s="141"/>
      <c r="G100" s="139"/>
      <c r="H100" s="142"/>
    </row>
    <row r="101" spans="1:8" x14ac:dyDescent="0.3">
      <c r="E101" s="143"/>
      <c r="F101" s="144"/>
      <c r="G101" s="139"/>
      <c r="H101" s="142"/>
    </row>
    <row r="102" spans="1:8" x14ac:dyDescent="0.3">
      <c r="E102" s="143"/>
      <c r="F102" s="144"/>
      <c r="G102" s="139"/>
      <c r="H102" s="142"/>
    </row>
    <row r="103" spans="1:8" x14ac:dyDescent="0.3">
      <c r="E103" s="143"/>
      <c r="F103" s="144"/>
      <c r="G103" s="139"/>
      <c r="H103" s="142"/>
    </row>
    <row r="104" spans="1:8" x14ac:dyDescent="0.3">
      <c r="E104" s="145"/>
      <c r="F104" s="145"/>
      <c r="G104" s="145"/>
    </row>
    <row r="105" spans="1:8" x14ac:dyDescent="0.3">
      <c r="E105" s="114"/>
      <c r="F105" s="114"/>
    </row>
    <row r="106" spans="1:8" x14ac:dyDescent="0.3">
      <c r="E106" s="114"/>
      <c r="F106" s="114"/>
    </row>
    <row r="107" spans="1:8" x14ac:dyDescent="0.3">
      <c r="E107" s="114"/>
      <c r="F107" s="114"/>
    </row>
    <row r="108" spans="1:8" x14ac:dyDescent="0.3">
      <c r="E108" s="114"/>
      <c r="F108" s="114"/>
    </row>
    <row r="109" spans="1:8" x14ac:dyDescent="0.3">
      <c r="E109" s="114"/>
      <c r="F109" s="114"/>
    </row>
    <row r="110" spans="1:8" x14ac:dyDescent="0.3">
      <c r="E110" s="115"/>
      <c r="F110" s="114"/>
    </row>
    <row r="111" spans="1:8" x14ac:dyDescent="0.3">
      <c r="E111" s="114"/>
      <c r="F111" s="114"/>
    </row>
  </sheetData>
  <autoFilter ref="F2:F94" xr:uid="{00000000-0009-0000-0000-000003000000}"/>
  <mergeCells count="47">
    <mergeCell ref="G36:L36"/>
    <mergeCell ref="A36:B36"/>
    <mergeCell ref="A37:B37"/>
    <mergeCell ref="A38:B38"/>
    <mergeCell ref="A39:B39"/>
    <mergeCell ref="A97:E97"/>
    <mergeCell ref="A99:E99"/>
    <mergeCell ref="A1:E1"/>
    <mergeCell ref="A55:B55"/>
    <mergeCell ref="A56:B56"/>
    <mergeCell ref="A58:B58"/>
    <mergeCell ref="A59:B59"/>
    <mergeCell ref="A57:B57"/>
    <mergeCell ref="A32:B32"/>
    <mergeCell ref="B79:C79"/>
    <mergeCell ref="A35:B35"/>
    <mergeCell ref="A63:B63"/>
    <mergeCell ref="B76:C76"/>
    <mergeCell ref="B77:C77"/>
    <mergeCell ref="A41:B41"/>
    <mergeCell ref="A42:B42"/>
    <mergeCell ref="A96:E96"/>
    <mergeCell ref="A46:B46"/>
    <mergeCell ref="A47:B47"/>
    <mergeCell ref="A40:B40"/>
    <mergeCell ref="B78:C78"/>
    <mergeCell ref="A64:B64"/>
    <mergeCell ref="A76:A77"/>
    <mergeCell ref="B75:C75"/>
    <mergeCell ref="A44:B44"/>
    <mergeCell ref="A48:B48"/>
    <mergeCell ref="A49:B49"/>
    <mergeCell ref="A50:B50"/>
    <mergeCell ref="A54:B54"/>
    <mergeCell ref="A51:B51"/>
    <mergeCell ref="A52:B52"/>
    <mergeCell ref="A62:B62"/>
    <mergeCell ref="B87:E87"/>
    <mergeCell ref="A34:B34"/>
    <mergeCell ref="A31:B31"/>
    <mergeCell ref="A66:B66"/>
    <mergeCell ref="A3:C3"/>
    <mergeCell ref="A53:B53"/>
    <mergeCell ref="A60:B60"/>
    <mergeCell ref="A61:B61"/>
    <mergeCell ref="B81:C81"/>
    <mergeCell ref="A45:B45"/>
  </mergeCells>
  <dataValidations xWindow="697" yWindow="567" count="20">
    <dataValidation allowBlank="1" showInputMessage="1" showErrorMessage="1" prompt="wpisz liczbę tabel" sqref="D65" xr:uid="{00000000-0002-0000-0300-000000000000}"/>
    <dataValidation allowBlank="1" showInputMessage="1" showErrorMessage="1" prompt="wpisz liczbę baz dodatkowych" sqref="D77" xr:uid="{00000000-0002-0000-0300-000001000000}"/>
    <dataValidation type="list" allowBlank="1" showInputMessage="1" showErrorMessage="1" sqref="B67" xr:uid="{00000000-0002-0000-0300-000002000000}">
      <formula1>$A$186:$A$188</formula1>
    </dataValidation>
    <dataValidation allowBlank="1" showInputMessage="1" showErrorMessage="1" prompt="wpisz liczbę wszystkich baz instalacji wielofirmowej" sqref="D82" xr:uid="{00000000-0002-0000-0300-000003000000}"/>
    <dataValidation allowBlank="1" showInputMessage="1" showErrorMessage="1" prompt="wpisz liczbę stanowisk" sqref="D24" xr:uid="{00000000-0002-0000-0300-000004000000}"/>
    <dataValidation type="custom" allowBlank="1" showInputMessage="1" showErrorMessage="1" sqref="B4:B30" xr:uid="{00000000-0002-0000-0300-000005000000}">
      <formula1>#REF!</formula1>
    </dataValidation>
    <dataValidation allowBlank="1" showInputMessage="1" showErrorMessage="1" prompt="wpisz maksymalną liczbę kierowników z największej bazy,_x000a_PRZYKŁAD:_x000a_P.Kierownika będzie użytkowny w 2 bazach:_x000a_w 1. - 5 dostępów, w 2. - 3 dostępy_x000a_zatem wpisujemy 5" sqref="D69" xr:uid="{00000000-0002-0000-0300-000006000000}"/>
    <dataValidation allowBlank="1" showInputMessage="1" showErrorMessage="1" prompt="można dokupić jeżeli na licencji jest już min. jedno stanowsiko dowolnego modułu samodzielnego min. w wersji srebrnej (patrz powyżej zaznaczone na zielono)" sqref="D8" xr:uid="{00000000-0002-0000-0300-000007000000}"/>
    <dataValidation allowBlank="1" showInputMessage="1" showErrorMessage="1" prompt="wymaga min. jednego modułu pozwalającego_x000a_generować dokumenty sprzedaży (generujące_x000a_należności – Faktury/Handel, Księga Podatkowa_x000a_oraz Księga Handlowa)" sqref="D9" xr:uid="{00000000-0002-0000-0300-000008000000}"/>
    <dataValidation allowBlank="1" showInputMessage="1" showErrorMessage="1" prompt="wymaga min. po 1 stanowisku modułów Handel i CRM " sqref="D12" xr:uid="{00000000-0002-0000-0300-000009000000}"/>
    <dataValidation allowBlank="1" showInputMessage="1" showErrorMessage="1" prompt="wymaga min. 1 st. Handlu " sqref="D13" xr:uid="{00000000-0002-0000-0300-00000A000000}"/>
    <dataValidation allowBlank="1" showInputMessage="1" showErrorMessage="1" prompt="na licencji musi być inny, dowolny moduł, którego działanie chcemy oprocesować" sqref="D22" xr:uid="{00000000-0002-0000-0300-00000B000000}"/>
    <dataValidation allowBlank="1" showInputMessage="1" showErrorMessage="1" prompt="dowolny moduł, który chcemy &quot;poglądać&quot;" sqref="D25" xr:uid="{00000000-0002-0000-0300-00000C000000}"/>
    <dataValidation allowBlank="1" showInputMessage="1" showErrorMessage="1" prompt="wymaga: Ewidencji Środków pieniężnych, dowolny moduł samodzielny min. w wersji srebrnej (patrz powyżej zaznaczone na zielono)" sqref="D26" xr:uid="{00000000-0002-0000-0300-00000D000000}"/>
    <dataValidation allowBlank="1" showInputMessage="1" showErrorMessage="1" errorTitle="Wprowadź moduły podstawowe" error="wprowadź moduły podstawowe, wówczas paramerty BI uzupełnią się samodzielnie" promptTitle="Wartość wyliczy się samodzielnie" prompt="pamiętaj, że cena jest zależna od łącznej liczby stanowisk modułów podstawowych, wprowadź je wszystkie" sqref="C33" xr:uid="{00000000-0002-0000-0300-00000E000000}"/>
    <dataValidation allowBlank="1" showInputMessage="1" showErrorMessage="1" prompt="wpisz wartość rabatu" sqref="C84" xr:uid="{00000000-0002-0000-0300-00000F000000}"/>
    <dataValidation allowBlank="1" showInputMessage="1" showErrorMessage="1" prompt="Wymaga modułów: _x000a_Workflow platyna_x000a_DMS platyna _x000a_Harmonogram Zadań_x000a_Integracja OCR" sqref="A87" xr:uid="{97875593-80C7-43A5-BF0E-B5F21CEE240C}"/>
    <dataValidation allowBlank="1" showInputMessage="1" showErrorMessage="1" prompt=" " sqref="D30" xr:uid="{A971E3B8-186F-420F-9A6B-EFB67DE47CB5}"/>
    <dataValidation allowBlank="1" showInputMessage="1" showErrorMessage="1" prompt="Wpisz liczbę stanowisk" sqref="D4" xr:uid="{90C1BA2E-F864-43E3-B9D8-3FE7BA3B4394}"/>
    <dataValidation allowBlank="1" showInputMessage="1" showErrorMessage="1" prompt="wymaga na licecnji min. 1 st. Produkcji oraz 1 st. Handlu" sqref="D29" xr:uid="{63158DF9-85DF-4D32-AAAC-D51F7CCCD262}"/>
  </dataValidations>
  <hyperlinks>
    <hyperlink ref="A99:E99" r:id="rId1" display="Formularz oferty wyceny usługi enova365 IaaS &gt;" xr:uid="{00000000-0004-0000-0300-000000000000}"/>
    <hyperlink ref="B87:E87" r:id="rId2" display="cennik dostępny jest w Bazie Wiedzy" xr:uid="{1F05080C-8DD4-4AA8-944D-AF8A9A4E6C67}"/>
  </hyperlinks>
  <pageMargins left="0.7" right="0.7" top="0.75" bottom="0.75" header="0.3" footer="0.3"/>
  <pageSetup paperSize="9" orientation="portrait" horizontalDpi="300" r:id="rId3"/>
  <ignoredErrors>
    <ignoredError sqref="F67 F76 F82 E32 F32 E11 E24" formula="1"/>
  </ignoredErrors>
  <extLst>
    <ext xmlns:x14="http://schemas.microsoft.com/office/spreadsheetml/2009/9/main" uri="{CCE6A557-97BC-4b89-ADB6-D9C93CAAB3DF}">
      <x14:dataValidations xmlns:xm="http://schemas.microsoft.com/office/excel/2006/main" xWindow="697" yWindow="567" count="28">
        <x14:dataValidation type="list" allowBlank="1" showInputMessage="1" showErrorMessage="1" prompt="wymagany Pulpit Pracownika" xr:uid="{00000000-0002-0000-0300-000010000000}">
          <x14:formula1>
            <xm:f>'Cennik enova365'!$I$14:$I$15</xm:f>
          </x14:formula1>
          <xm:sqref>B70</xm:sqref>
        </x14:dataValidation>
        <x14:dataValidation type="list" allowBlank="1" showInputMessage="1" showErrorMessage="1" prompt="wymaga min. 1 stanowiska modułu Kadry Płace" xr:uid="{00000000-0002-0000-0300-000011000000}">
          <x14:formula1>
            <xm:f>'Cennik enova365'!$I$14:$I$15</xm:f>
          </x14:formula1>
          <xm:sqref>D36 D43:D45</xm:sqref>
        </x14:dataValidation>
        <x14:dataValidation type="list" allowBlank="1" showInputMessage="1" showErrorMessage="1" prompt="dowolny moduł samodzielny min. w wersji srebrnej_x000a_(patrz powyżej zaznaczone na zielono)" xr:uid="{00000000-0002-0000-0300-000012000000}">
          <x14:formula1>
            <xm:f>'Cennik enova365'!$I$14:$I$15</xm:f>
          </x14:formula1>
          <xm:sqref>D48:D49</xm:sqref>
        </x14:dataValidation>
        <x14:dataValidation type="list" allowBlank="1" showInputMessage="1" showErrorMessage="1" prompt="dowolny moduł min. w wersji złotej_x000a_(przynajmniej jedno, dowolne stanowsiko w ramach licencji Klienta musi być złote)" xr:uid="{00000000-0002-0000-0300-000013000000}">
          <x14:formula1>
            <xm:f>'Cennik enova365'!$I$14:$I$15</xm:f>
          </x14:formula1>
          <xm:sqref>D58 D60:D61</xm:sqref>
        </x14:dataValidation>
        <x14:dataValidation type="list" allowBlank="1" showInputMessage="1" showErrorMessage="1" prompt="zaznacz odpowiednią opcję" xr:uid="{00000000-0002-0000-0300-000014000000}">
          <x14:formula1>
            <xm:f>'Cennik enova365'!$I$14:$I$15</xm:f>
          </x14:formula1>
          <xm:sqref>B65</xm:sqref>
        </x14:dataValidation>
        <x14:dataValidation type="list" allowBlank="1" showInputMessage="1" showErrorMessage="1" xr:uid="{00000000-0002-0000-0300-000015000000}">
          <x14:formula1>
            <xm:f>'Cennik enova365'!$I$14:$I$15</xm:f>
          </x14:formula1>
          <xm:sqref>D84</xm:sqref>
        </x14:dataValidation>
        <x14:dataValidation type="list" allowBlank="1" showInputMessage="1" showErrorMessage="1" prompt="wymaga: CRM lub Projekty " xr:uid="{00000000-0002-0000-0300-000016000000}">
          <x14:formula1>
            <xm:f>'Cennik enova365'!$I$14:$I$15</xm:f>
          </x14:formula1>
          <xm:sqref>D59</xm:sqref>
        </x14:dataValidation>
        <x14:dataValidation type="list" allowBlank="1" showInputMessage="1" showErrorMessage="1" prompt="wymaga: modułu Faktury lub Handel " xr:uid="{00000000-0002-0000-0300-000017000000}">
          <x14:formula1>
            <xm:f>'Cennik enova365'!$I$14:$I$15</xm:f>
          </x14:formula1>
          <xm:sqref>D52 D54:D55</xm:sqref>
        </x14:dataValidation>
        <x14:dataValidation type="list" allowBlank="1" showInputMessage="1" showErrorMessage="1" prompt="dowolny moduł min. w wersji srebrnej" xr:uid="{00000000-0002-0000-0300-000018000000}">
          <x14:formula1>
            <xm:f>'Cennik enova365'!$I$14:$I$15</xm:f>
          </x14:formula1>
          <xm:sqref>D53</xm:sqref>
        </x14:dataValidation>
        <x14:dataValidation type="list" allowBlank="1" showInputMessage="1" showErrorMessage="1" prompt="wymaga: Księga Handlowa lub Księga Podatkowa" xr:uid="{00000000-0002-0000-0300-00001A000000}">
          <x14:formula1>
            <xm:f>'Cennik enova365'!$I$14:$I$15</xm:f>
          </x14:formula1>
          <xm:sqref>D50:D51</xm:sqref>
        </x14:dataValidation>
        <x14:dataValidation type="list" allowBlank="1" showInputMessage="1" showErrorMessage="1" prompt="wymaga min. 1 stanowiska modułu Księga Handlowa" xr:uid="{00000000-0002-0000-0300-00001B000000}">
          <x14:formula1>
            <xm:f>'Cennik enova365'!$I$14:$I$15</xm:f>
          </x14:formula1>
          <xm:sqref>D46:D47</xm:sqref>
        </x14:dataValidation>
        <x14:dataValidation type="list" allowBlank="1" showInputMessage="1" showErrorMessage="1" prompt="dowolny moduł min. w wersji złotej_x000a_(przynajmniej jedno, dowolne stanowsiko w ramach licencji Klienta musi być multi)" xr:uid="{00000000-0002-0000-0300-00001F000000}">
          <x14:formula1>
            <xm:f>'Cennik enova365'!$I$14:$I$15</xm:f>
          </x14:formula1>
          <xm:sqref>D56</xm:sqref>
        </x14:dataValidation>
        <x14:dataValidation type="list" allowBlank="1" showInputMessage="1" showErrorMessage="1" prompt="wybierz przedział" xr:uid="{00000000-0002-0000-0300-000020000000}">
          <x14:formula1>
            <xm:f>'Cennik enova365'!$A$92:$A$97</xm:f>
          </x14:formula1>
          <xm:sqref>D68</xm:sqref>
        </x14:dataValidation>
        <x14:dataValidation type="list" allowBlank="1" showInputMessage="1" showErrorMessage="1" prompt="wymaga min. 1 stanowiska modułu Workflow oraz innego Pulpitu_x000a_" xr:uid="{00000000-0002-0000-0300-000021000000}">
          <x14:formula1>
            <xm:f>'Cennik enova365'!$I$14:$I$15</xm:f>
          </x14:formula1>
          <xm:sqref>B72</xm:sqref>
        </x14:dataValidation>
        <x14:dataValidation type="list" allowBlank="1" showInputMessage="1" showErrorMessage="1" prompt="wymaga modułu Handel lub modułu CRM" xr:uid="{00000000-0002-0000-0300-000022000000}">
          <x14:formula1>
            <xm:f>'Cennik enova365'!$I$14:$I$15</xm:f>
          </x14:formula1>
          <xm:sqref>B71</xm:sqref>
        </x14:dataValidation>
        <x14:dataValidation type="list" allowBlank="1" showInputMessage="1" showErrorMessage="1" prompt="wymaga Kadr Płac" xr:uid="{00000000-0002-0000-0300-000023000000}">
          <x14:formula1>
            <xm:f>'Cennik enova365'!$I$14:$I$15</xm:f>
          </x14:formula1>
          <xm:sqref>B68</xm:sqref>
        </x14:dataValidation>
        <x14:dataValidation type="list" allowBlank="1" showInputMessage="1" showErrorMessage="1" prompt="wybierz przedział" xr:uid="{00000000-0002-0000-0300-000024000000}">
          <x14:formula1>
            <xm:f>'Cennik enova365'!$A$102:$A$107</xm:f>
          </x14:formula1>
          <xm:sqref>D71</xm:sqref>
        </x14:dataValidation>
        <x14:dataValidation type="list" allowBlank="1" showInputMessage="1" showErrorMessage="1" prompt="wymaga: modułu Handel _x000a_" xr:uid="{00000000-0002-0000-0300-000025000000}">
          <x14:formula1>
            <xm:f>'Cennik enova365'!$I$14:$I$15</xm:f>
          </x14:formula1>
          <xm:sqref>D57</xm:sqref>
        </x14:dataValidation>
        <x14:dataValidation type="list" allowBlank="1" showInputMessage="1" showErrorMessage="1" errorTitle="Wprowadź moduły podstawowe" error="wprowadź moduły podstawowe, wówczas paramerty BI uzupełnią się samodzielnie" promptTitle="Wartość wyliczy się samodzielnie" prompt="pamiętaj, że cena jest zależna od łącznej liczby stanowisk modułów podstawowych, wprowadź je wszystkie" xr:uid="{00000000-0002-0000-0300-000026000000}">
          <x14:formula1>
            <xm:f>'Cennik enova365'!$I$14:$I$15</xm:f>
          </x14:formula1>
          <xm:sqref>D33</xm:sqref>
        </x14:dataValidation>
        <x14:dataValidation type="list" allowBlank="1" showInputMessage="1" showErrorMessage="1" prompt="wybierz przedział" xr:uid="{00000000-0002-0000-0300-000027000000}">
          <x14:formula1>
            <xm:f>'Cennik enova365'!$A$110:$A$115</xm:f>
          </x14:formula1>
          <xm:sqref>D72:D74</xm:sqref>
        </x14:dataValidation>
        <x14:dataValidation type="list" allowBlank="1" showInputMessage="1" showErrorMessage="1" prompt="wymaga min. po 1 stanowisku modułów Praca Hybrydowej, Kadry Płace oraz Pulpitu Pracownika" xr:uid="{00000000-0002-0000-0300-000028000000}">
          <x14:formula1>
            <xm:f>'Cennik enova365'!$I$14:$I$15</xm:f>
          </x14:formula1>
          <xm:sqref>B74</xm:sqref>
        </x14:dataValidation>
        <x14:dataValidation type="list" allowBlank="1" showInputMessage="1" showErrorMessage="1" prompt="wymaga BI_x000a_oraz innego Pulpitu" xr:uid="{00000000-0002-0000-0300-000029000000}">
          <x14:formula1>
            <xm:f>'Cennik enova365'!$I$14:$I$15</xm:f>
          </x14:formula1>
          <xm:sqref>B73</xm:sqref>
        </x14:dataValidation>
        <x14:dataValidation type="list" allowBlank="1" showInputMessage="1" showErrorMessage="1" prompt="abonament roczny, przedział musi być zgodny z przedziałem licecnji ABBYY FlexiCapture Distributed for Invoices _x000a_" xr:uid="{D3BEE775-E2F6-410E-A19F-7562A969C2C2}">
          <x14:formula1>
            <xm:f>'Cennik enova365'!$I$14:$I$15</xm:f>
          </x14:formula1>
          <xm:sqref>B88</xm:sqref>
        </x14:dataValidation>
        <x14:dataValidation type="list" allowBlank="1" showInputMessage="1" showErrorMessage="1" prompt="abonament roczny, przedział musi być zgodny z przedziałem licecnji ABBYY FlexiCapture Distributed for Invoices " xr:uid="{0C3D0277-FB47-4584-B1F2-D0051CF26514}">
          <x14:formula1>
            <xm:f>'Cennik enova365'!$A$156:$A$168</xm:f>
          </x14:formula1>
          <xm:sqref>D88</xm:sqref>
        </x14:dataValidation>
        <x14:dataValidation type="list" allowBlank="1" showInputMessage="1" showErrorMessage="1" prompt="wymaga min. 1 stanowiska modułu Kadry Płace " xr:uid="{739AB80D-67DF-4597-91AA-80070C7C2EBA}">
          <x14:formula1>
            <xm:f>'Cennik enova365'!$I$14:$I$15</xm:f>
          </x14:formula1>
          <xm:sqref>D37:D41</xm:sqref>
        </x14:dataValidation>
        <x14:dataValidation type="list" allowBlank="1" showInputMessage="1" showErrorMessage="1" prompt="wymaga min. po 1 stanowisku modułów Kadry Płace oraz Handel " xr:uid="{A2157EF6-85CD-4F7C-91E5-90AEF4C5EABD}">
          <x14:formula1>
            <xm:f>'Cennik enova365'!$I$14:$I$15</xm:f>
          </x14:formula1>
          <xm:sqref>D42</xm:sqref>
        </x14:dataValidation>
        <x14:dataValidation type="list" allowBlank="1" showInputMessage="1" showErrorMessage="1" prompt="wymaga Pulpitu Pracownika oraz min. 1 stanowiska modułu Kadry Płace" xr:uid="{AAA95B68-CF70-41A5-B840-E8758D3BFFDE}">
          <x14:formula1>
            <xm:f>'Cennik enova365'!$I$14:$I$15</xm:f>
          </x14:formula1>
          <xm:sqref>B69</xm:sqref>
        </x14:dataValidation>
        <x14:dataValidation type="list" allowBlank="1" showInputMessage="1" showErrorMessage="1" prompt="wymaga min. 1 stanowisko modułu Handel oraz dodatku Integrator._x000a_Dodatek płatny dla wszystkich wersji kolorystycznych enova365." xr:uid="{D96F8CC7-B74B-44A2-9FA5-CD50FAE1FC68}">
          <x14:formula1>
            <xm:f>'Cennik enova365'!$I$14:$I$15</xm:f>
          </x14:formula1>
          <xm:sqref>D62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77"/>
  <sheetViews>
    <sheetView zoomScale="70" zoomScaleNormal="70" workbookViewId="0">
      <selection activeCell="A4" sqref="A4"/>
    </sheetView>
  </sheetViews>
  <sheetFormatPr defaultRowHeight="14.4" x14ac:dyDescent="0.3"/>
  <cols>
    <col min="1" max="1" width="70.6640625" customWidth="1"/>
    <col min="2" max="2" width="26.5546875" customWidth="1"/>
    <col min="3" max="5" width="27.33203125" bestFit="1" customWidth="1"/>
    <col min="6" max="7" width="15.6640625" customWidth="1"/>
    <col min="9" max="9" width="25.6640625" customWidth="1"/>
    <col min="10" max="10" width="18.5546875" customWidth="1"/>
    <col min="11" max="11" width="18.33203125" customWidth="1"/>
  </cols>
  <sheetData>
    <row r="1" spans="1:24" x14ac:dyDescent="0.3">
      <c r="W1">
        <v>0</v>
      </c>
      <c r="X1" t="s">
        <v>24</v>
      </c>
    </row>
    <row r="2" spans="1:24" x14ac:dyDescent="0.3">
      <c r="I2" s="4" t="s">
        <v>52</v>
      </c>
      <c r="L2">
        <v>0</v>
      </c>
      <c r="M2" s="191" t="s">
        <v>202</v>
      </c>
      <c r="P2">
        <v>0</v>
      </c>
      <c r="Q2" t="s">
        <v>202</v>
      </c>
      <c r="S2">
        <v>0</v>
      </c>
      <c r="T2" t="s">
        <v>202</v>
      </c>
      <c r="W2">
        <v>1</v>
      </c>
      <c r="X2" t="s">
        <v>204</v>
      </c>
    </row>
    <row r="3" spans="1:24" x14ac:dyDescent="0.3">
      <c r="I3" t="s">
        <v>1</v>
      </c>
      <c r="J3" t="s">
        <v>1</v>
      </c>
      <c r="L3">
        <v>1</v>
      </c>
      <c r="M3" t="s">
        <v>200</v>
      </c>
      <c r="P3">
        <v>1</v>
      </c>
      <c r="Q3" t="s">
        <v>199</v>
      </c>
      <c r="S3">
        <v>1</v>
      </c>
      <c r="T3" t="s">
        <v>199</v>
      </c>
      <c r="W3">
        <v>2</v>
      </c>
      <c r="X3" t="s">
        <v>204</v>
      </c>
    </row>
    <row r="4" spans="1:24" x14ac:dyDescent="0.3">
      <c r="A4" s="5" t="s">
        <v>60</v>
      </c>
      <c r="I4" t="s">
        <v>3</v>
      </c>
      <c r="J4" t="s">
        <v>5</v>
      </c>
      <c r="L4">
        <v>2</v>
      </c>
      <c r="M4" t="s">
        <v>197</v>
      </c>
      <c r="P4">
        <v>100</v>
      </c>
      <c r="Q4" t="s">
        <v>199</v>
      </c>
      <c r="S4">
        <v>50</v>
      </c>
      <c r="T4" t="s">
        <v>199</v>
      </c>
      <c r="W4">
        <v>3</v>
      </c>
      <c r="X4" t="s">
        <v>204</v>
      </c>
    </row>
    <row r="5" spans="1:24" x14ac:dyDescent="0.3">
      <c r="A5" s="2"/>
      <c r="I5" t="s">
        <v>5</v>
      </c>
      <c r="L5">
        <v>5</v>
      </c>
      <c r="M5" t="s">
        <v>198</v>
      </c>
      <c r="P5">
        <v>101</v>
      </c>
      <c r="Q5" t="s">
        <v>201</v>
      </c>
      <c r="S5">
        <v>51</v>
      </c>
      <c r="T5" t="s">
        <v>201</v>
      </c>
      <c r="W5">
        <v>4</v>
      </c>
      <c r="X5" t="s">
        <v>204</v>
      </c>
    </row>
    <row r="6" spans="1:24" x14ac:dyDescent="0.3">
      <c r="A6" s="183" t="s">
        <v>39</v>
      </c>
      <c r="B6" s="170" t="s">
        <v>168</v>
      </c>
      <c r="C6" s="171" t="s">
        <v>169</v>
      </c>
      <c r="D6" s="172" t="s">
        <v>170</v>
      </c>
      <c r="E6" s="174" t="s">
        <v>171</v>
      </c>
      <c r="F6" t="s">
        <v>178</v>
      </c>
      <c r="L6">
        <v>10</v>
      </c>
      <c r="M6" t="s">
        <v>199</v>
      </c>
      <c r="W6">
        <v>5</v>
      </c>
      <c r="X6" t="s">
        <v>204</v>
      </c>
    </row>
    <row r="7" spans="1:24" x14ac:dyDescent="0.3">
      <c r="A7" t="s">
        <v>94</v>
      </c>
      <c r="B7" s="179">
        <v>115</v>
      </c>
      <c r="C7" s="179">
        <v>252</v>
      </c>
      <c r="D7" s="179">
        <v>377</v>
      </c>
      <c r="E7" s="179">
        <v>452</v>
      </c>
      <c r="F7" s="179" t="s">
        <v>177</v>
      </c>
      <c r="G7" s="116"/>
      <c r="I7" s="4" t="s">
        <v>0</v>
      </c>
      <c r="L7">
        <v>21</v>
      </c>
      <c r="M7" t="s">
        <v>201</v>
      </c>
      <c r="W7">
        <v>6</v>
      </c>
      <c r="X7" t="s">
        <v>204</v>
      </c>
    </row>
    <row r="8" spans="1:24" x14ac:dyDescent="0.3">
      <c r="A8" t="s">
        <v>95</v>
      </c>
      <c r="B8" s="179">
        <v>40</v>
      </c>
      <c r="C8" s="185" t="s">
        <v>176</v>
      </c>
      <c r="D8" s="179">
        <v>73</v>
      </c>
      <c r="E8" s="179">
        <v>88</v>
      </c>
      <c r="F8" s="179" t="s">
        <v>177</v>
      </c>
      <c r="G8" s="116"/>
      <c r="I8" t="s">
        <v>37</v>
      </c>
      <c r="W8">
        <v>7</v>
      </c>
      <c r="X8" t="s">
        <v>204</v>
      </c>
    </row>
    <row r="9" spans="1:24" x14ac:dyDescent="0.3">
      <c r="A9" t="s">
        <v>96</v>
      </c>
      <c r="B9" s="185" t="s">
        <v>176</v>
      </c>
      <c r="C9" s="179">
        <v>190</v>
      </c>
      <c r="D9" s="179">
        <v>343</v>
      </c>
      <c r="E9" s="179">
        <v>412</v>
      </c>
      <c r="F9" s="179" t="s">
        <v>177</v>
      </c>
      <c r="G9" s="116"/>
      <c r="I9" t="s">
        <v>38</v>
      </c>
      <c r="W9">
        <v>8</v>
      </c>
      <c r="X9" t="s">
        <v>204</v>
      </c>
    </row>
    <row r="10" spans="1:24" x14ac:dyDescent="0.3">
      <c r="A10" t="s">
        <v>97</v>
      </c>
      <c r="B10" s="179">
        <v>25</v>
      </c>
      <c r="C10" s="179">
        <v>75</v>
      </c>
      <c r="D10" s="179">
        <v>174</v>
      </c>
      <c r="E10" s="179">
        <v>209</v>
      </c>
      <c r="F10" s="179" t="s">
        <v>177</v>
      </c>
      <c r="G10" s="116"/>
      <c r="W10">
        <v>9</v>
      </c>
      <c r="X10" t="s">
        <v>204</v>
      </c>
    </row>
    <row r="11" spans="1:24" x14ac:dyDescent="0.3">
      <c r="A11" t="s">
        <v>98</v>
      </c>
      <c r="B11" s="179">
        <v>30</v>
      </c>
      <c r="C11" s="179">
        <v>30</v>
      </c>
      <c r="D11" s="179">
        <v>30</v>
      </c>
      <c r="E11" s="179">
        <v>36</v>
      </c>
      <c r="F11" s="179" t="s">
        <v>177</v>
      </c>
      <c r="G11" s="116"/>
      <c r="W11">
        <v>10</v>
      </c>
      <c r="X11" t="s">
        <v>205</v>
      </c>
    </row>
    <row r="12" spans="1:24" x14ac:dyDescent="0.3">
      <c r="A12" t="s">
        <v>137</v>
      </c>
      <c r="B12" s="185" t="s">
        <v>176</v>
      </c>
      <c r="C12" s="179">
        <v>68</v>
      </c>
      <c r="D12" s="179">
        <v>68</v>
      </c>
      <c r="E12" s="179">
        <v>81</v>
      </c>
      <c r="F12" s="179" t="s">
        <v>177</v>
      </c>
      <c r="G12" s="116"/>
      <c r="W12">
        <v>11</v>
      </c>
      <c r="X12" t="s">
        <v>205</v>
      </c>
    </row>
    <row r="13" spans="1:24" x14ac:dyDescent="0.3">
      <c r="A13" t="s">
        <v>99</v>
      </c>
      <c r="B13" s="179">
        <v>16</v>
      </c>
      <c r="C13" s="179">
        <v>37</v>
      </c>
      <c r="D13" s="179">
        <v>104</v>
      </c>
      <c r="E13" s="179">
        <v>125</v>
      </c>
      <c r="F13" s="179" t="s">
        <v>177</v>
      </c>
      <c r="G13" s="116"/>
      <c r="I13" s="5" t="s">
        <v>54</v>
      </c>
      <c r="W13">
        <v>12</v>
      </c>
      <c r="X13" t="s">
        <v>205</v>
      </c>
    </row>
    <row r="14" spans="1:24" x14ac:dyDescent="0.3">
      <c r="A14" t="s">
        <v>100</v>
      </c>
      <c r="B14" s="179">
        <v>67</v>
      </c>
      <c r="C14" s="179">
        <v>113</v>
      </c>
      <c r="D14" s="179">
        <v>258</v>
      </c>
      <c r="E14" s="179">
        <v>309</v>
      </c>
      <c r="F14" s="179" t="s">
        <v>177</v>
      </c>
      <c r="G14" s="116"/>
      <c r="I14" t="s">
        <v>2</v>
      </c>
      <c r="W14">
        <v>13</v>
      </c>
      <c r="X14" t="s">
        <v>205</v>
      </c>
    </row>
    <row r="15" spans="1:24" x14ac:dyDescent="0.3">
      <c r="A15" t="s">
        <v>101</v>
      </c>
      <c r="B15" s="185" t="s">
        <v>176</v>
      </c>
      <c r="C15" s="179">
        <v>121</v>
      </c>
      <c r="D15" s="179">
        <v>295</v>
      </c>
      <c r="E15" s="179">
        <v>354</v>
      </c>
      <c r="F15" s="179" t="s">
        <v>177</v>
      </c>
      <c r="G15" s="116"/>
      <c r="I15" t="s">
        <v>4</v>
      </c>
      <c r="J15" s="147"/>
      <c r="W15">
        <v>14</v>
      </c>
      <c r="X15" t="s">
        <v>205</v>
      </c>
    </row>
    <row r="16" spans="1:24" x14ac:dyDescent="0.3">
      <c r="A16" t="s">
        <v>102</v>
      </c>
      <c r="B16" s="185" t="s">
        <v>176</v>
      </c>
      <c r="C16" s="179">
        <v>193</v>
      </c>
      <c r="D16" s="179">
        <v>262</v>
      </c>
      <c r="E16" s="179">
        <v>314</v>
      </c>
      <c r="F16" s="179" t="s">
        <v>177</v>
      </c>
      <c r="G16" s="116"/>
      <c r="J16" s="147"/>
      <c r="W16">
        <v>15</v>
      </c>
      <c r="X16" t="s">
        <v>205</v>
      </c>
    </row>
    <row r="17" spans="1:24" x14ac:dyDescent="0.3">
      <c r="A17" t="s">
        <v>103</v>
      </c>
      <c r="B17" s="179">
        <v>34</v>
      </c>
      <c r="C17" s="179">
        <v>70</v>
      </c>
      <c r="D17" s="179">
        <v>179</v>
      </c>
      <c r="E17" s="179">
        <v>215</v>
      </c>
      <c r="F17" s="179" t="s">
        <v>177</v>
      </c>
      <c r="G17" s="116"/>
      <c r="I17" s="5" t="s">
        <v>55</v>
      </c>
      <c r="J17" s="147"/>
      <c r="W17">
        <v>16</v>
      </c>
      <c r="X17" t="s">
        <v>205</v>
      </c>
    </row>
    <row r="18" spans="1:24" x14ac:dyDescent="0.3">
      <c r="A18" t="s">
        <v>104</v>
      </c>
      <c r="B18" s="179">
        <v>25</v>
      </c>
      <c r="C18" s="179">
        <v>53</v>
      </c>
      <c r="D18" s="179">
        <v>140</v>
      </c>
      <c r="E18" s="179">
        <v>169</v>
      </c>
      <c r="F18" s="179" t="s">
        <v>177</v>
      </c>
      <c r="G18" s="116"/>
      <c r="I18" s="1">
        <v>1</v>
      </c>
      <c r="J18" s="147"/>
      <c r="W18">
        <v>17</v>
      </c>
      <c r="X18" t="s">
        <v>205</v>
      </c>
    </row>
    <row r="19" spans="1:24" x14ac:dyDescent="0.3">
      <c r="A19" t="s">
        <v>105</v>
      </c>
      <c r="B19" s="185" t="s">
        <v>176</v>
      </c>
      <c r="C19" s="179">
        <v>60</v>
      </c>
      <c r="D19" s="179">
        <v>140</v>
      </c>
      <c r="E19" s="179">
        <v>169</v>
      </c>
      <c r="F19" s="179" t="s">
        <v>177</v>
      </c>
      <c r="G19" s="116"/>
      <c r="I19" s="1">
        <v>2</v>
      </c>
      <c r="W19">
        <v>18</v>
      </c>
      <c r="X19" t="s">
        <v>205</v>
      </c>
    </row>
    <row r="20" spans="1:24" x14ac:dyDescent="0.3">
      <c r="A20" t="s">
        <v>106</v>
      </c>
      <c r="B20" s="180">
        <v>25</v>
      </c>
      <c r="C20" s="179">
        <v>53</v>
      </c>
      <c r="D20" s="179">
        <v>140</v>
      </c>
      <c r="E20" s="179">
        <v>169</v>
      </c>
      <c r="F20" s="179" t="s">
        <v>177</v>
      </c>
      <c r="G20" s="116"/>
      <c r="I20" s="1">
        <v>3</v>
      </c>
      <c r="W20">
        <v>19</v>
      </c>
      <c r="X20" t="s">
        <v>205</v>
      </c>
    </row>
    <row r="21" spans="1:24" x14ac:dyDescent="0.3">
      <c r="A21" t="s">
        <v>107</v>
      </c>
      <c r="B21" s="185" t="s">
        <v>176</v>
      </c>
      <c r="C21" s="179">
        <v>53</v>
      </c>
      <c r="D21" s="179">
        <v>210</v>
      </c>
      <c r="E21" s="179">
        <v>252</v>
      </c>
      <c r="F21" s="179" t="s">
        <v>177</v>
      </c>
      <c r="G21" s="116"/>
      <c r="I21" s="1">
        <v>4</v>
      </c>
      <c r="W21">
        <v>20</v>
      </c>
      <c r="X21" t="s">
        <v>205</v>
      </c>
    </row>
    <row r="22" spans="1:24" x14ac:dyDescent="0.3">
      <c r="A22" t="s">
        <v>108</v>
      </c>
      <c r="B22" s="185" t="s">
        <v>176</v>
      </c>
      <c r="C22" s="179">
        <v>129</v>
      </c>
      <c r="D22" s="179">
        <v>316</v>
      </c>
      <c r="E22" s="179">
        <v>380</v>
      </c>
      <c r="F22" s="179" t="s">
        <v>177</v>
      </c>
      <c r="G22" s="116"/>
      <c r="I22" s="1">
        <v>5</v>
      </c>
      <c r="W22">
        <v>99999</v>
      </c>
      <c r="X22" t="s">
        <v>205</v>
      </c>
    </row>
    <row r="23" spans="1:24" x14ac:dyDescent="0.3">
      <c r="A23" t="s">
        <v>249</v>
      </c>
      <c r="B23" s="178" t="s">
        <v>176</v>
      </c>
      <c r="C23" s="3">
        <v>255</v>
      </c>
      <c r="D23" s="3">
        <v>363</v>
      </c>
      <c r="E23" s="3">
        <v>436</v>
      </c>
      <c r="F23" s="3" t="s">
        <v>177</v>
      </c>
      <c r="G23" s="116"/>
      <c r="I23" s="1"/>
    </row>
    <row r="24" spans="1:24" x14ac:dyDescent="0.3">
      <c r="A24" t="s">
        <v>251</v>
      </c>
      <c r="B24" s="178" t="s">
        <v>176</v>
      </c>
      <c r="C24" s="179">
        <v>102</v>
      </c>
      <c r="D24" s="179">
        <v>146</v>
      </c>
      <c r="E24" s="179">
        <v>175</v>
      </c>
      <c r="F24" s="3" t="s">
        <v>177</v>
      </c>
      <c r="G24" s="116"/>
      <c r="I24" s="1"/>
    </row>
    <row r="25" spans="1:24" x14ac:dyDescent="0.3">
      <c r="A25" t="s">
        <v>109</v>
      </c>
      <c r="B25" s="178" t="s">
        <v>176</v>
      </c>
      <c r="C25" s="3">
        <v>19</v>
      </c>
      <c r="D25" s="3">
        <v>37</v>
      </c>
      <c r="E25" s="3">
        <v>43</v>
      </c>
      <c r="F25" s="3" t="s">
        <v>177</v>
      </c>
      <c r="G25" s="116"/>
    </row>
    <row r="26" spans="1:24" x14ac:dyDescent="0.3">
      <c r="A26" t="s">
        <v>110</v>
      </c>
      <c r="B26" s="185" t="s">
        <v>176</v>
      </c>
      <c r="C26" s="180">
        <v>24</v>
      </c>
      <c r="D26" s="180">
        <v>24</v>
      </c>
      <c r="E26" s="180">
        <v>28</v>
      </c>
      <c r="F26" s="179" t="s">
        <v>177</v>
      </c>
      <c r="G26" s="116"/>
      <c r="I26" s="5" t="s">
        <v>56</v>
      </c>
    </row>
    <row r="27" spans="1:24" x14ac:dyDescent="0.3">
      <c r="A27" t="s">
        <v>111</v>
      </c>
      <c r="B27" s="185" t="s">
        <v>176</v>
      </c>
      <c r="C27" s="179">
        <v>155</v>
      </c>
      <c r="D27" s="179">
        <v>155</v>
      </c>
      <c r="E27" s="179">
        <v>181</v>
      </c>
      <c r="F27" s="179" t="s">
        <v>177</v>
      </c>
      <c r="G27" s="116"/>
      <c r="I27" s="1">
        <v>1</v>
      </c>
    </row>
    <row r="28" spans="1:24" x14ac:dyDescent="0.3">
      <c r="A28" t="s">
        <v>112</v>
      </c>
      <c r="B28" s="180">
        <v>53</v>
      </c>
      <c r="C28" s="179">
        <v>53</v>
      </c>
      <c r="D28" s="179">
        <v>105</v>
      </c>
      <c r="E28" s="179">
        <v>126</v>
      </c>
      <c r="F28" s="179" t="s">
        <v>177</v>
      </c>
      <c r="G28" s="116"/>
      <c r="I28" s="1">
        <v>2</v>
      </c>
    </row>
    <row r="29" spans="1:24" x14ac:dyDescent="0.3">
      <c r="A29" t="s">
        <v>113</v>
      </c>
      <c r="B29" s="185" t="s">
        <v>176</v>
      </c>
      <c r="C29" s="179">
        <v>60</v>
      </c>
      <c r="D29" s="179">
        <v>281</v>
      </c>
      <c r="E29" s="179">
        <v>337</v>
      </c>
      <c r="F29" s="179" t="s">
        <v>177</v>
      </c>
      <c r="G29" s="116"/>
      <c r="I29" s="1">
        <v>3</v>
      </c>
    </row>
    <row r="30" spans="1:24" x14ac:dyDescent="0.3">
      <c r="A30" t="s">
        <v>114</v>
      </c>
      <c r="B30" s="185" t="s">
        <v>176</v>
      </c>
      <c r="C30" s="180">
        <v>38</v>
      </c>
      <c r="D30" s="180">
        <v>105</v>
      </c>
      <c r="E30" s="180">
        <v>126</v>
      </c>
      <c r="F30" s="179" t="s">
        <v>177</v>
      </c>
      <c r="G30" s="116"/>
      <c r="I30" s="1">
        <v>4</v>
      </c>
    </row>
    <row r="31" spans="1:24" x14ac:dyDescent="0.3">
      <c r="A31" t="s">
        <v>115</v>
      </c>
      <c r="B31" s="185" t="s">
        <v>176</v>
      </c>
      <c r="C31" s="179">
        <v>24</v>
      </c>
      <c r="D31" s="179">
        <v>77</v>
      </c>
      <c r="E31" s="179">
        <v>93</v>
      </c>
      <c r="F31" s="179" t="s">
        <v>177</v>
      </c>
      <c r="G31" s="116"/>
      <c r="I31" s="1">
        <v>5</v>
      </c>
    </row>
    <row r="32" spans="1:24" x14ac:dyDescent="0.3">
      <c r="A32" t="s">
        <v>242</v>
      </c>
      <c r="B32" s="185" t="s">
        <v>176</v>
      </c>
      <c r="C32" s="179">
        <v>9</v>
      </c>
      <c r="D32" s="179">
        <v>9</v>
      </c>
      <c r="E32" s="179">
        <v>9</v>
      </c>
      <c r="F32" s="179" t="s">
        <v>177</v>
      </c>
      <c r="G32" s="116"/>
      <c r="I32" s="1">
        <v>6</v>
      </c>
    </row>
    <row r="33" spans="1:9" x14ac:dyDescent="0.3">
      <c r="A33" t="s">
        <v>241</v>
      </c>
      <c r="B33" s="185" t="s">
        <v>176</v>
      </c>
      <c r="C33" s="179">
        <v>50</v>
      </c>
      <c r="D33" s="179">
        <v>50</v>
      </c>
      <c r="E33" s="179">
        <v>61</v>
      </c>
      <c r="F33" s="179" t="s">
        <v>177</v>
      </c>
      <c r="G33" s="116"/>
      <c r="I33" s="1">
        <v>7</v>
      </c>
    </row>
    <row r="34" spans="1:9" x14ac:dyDescent="0.3">
      <c r="I34" s="1">
        <v>8</v>
      </c>
    </row>
    <row r="35" spans="1:9" x14ac:dyDescent="0.3">
      <c r="A35" s="5" t="s">
        <v>22</v>
      </c>
      <c r="I35" s="1">
        <v>9</v>
      </c>
    </row>
    <row r="36" spans="1:9" x14ac:dyDescent="0.3">
      <c r="A36" s="183" t="s">
        <v>39</v>
      </c>
      <c r="B36" s="170" t="s">
        <v>168</v>
      </c>
      <c r="C36" s="171" t="s">
        <v>169</v>
      </c>
      <c r="D36" s="172" t="s">
        <v>170</v>
      </c>
      <c r="E36" s="177" t="s">
        <v>179</v>
      </c>
      <c r="F36" s="177"/>
      <c r="G36" s="177"/>
      <c r="I36" s="1">
        <v>10</v>
      </c>
    </row>
    <row r="37" spans="1:9" x14ac:dyDescent="0.3">
      <c r="A37" s="175" t="s">
        <v>116</v>
      </c>
      <c r="B37" s="179">
        <v>138</v>
      </c>
      <c r="C37" s="179">
        <v>303</v>
      </c>
      <c r="D37" s="179">
        <v>452</v>
      </c>
      <c r="E37" s="116" t="s">
        <v>177</v>
      </c>
      <c r="F37" s="175"/>
      <c r="G37" s="175"/>
      <c r="I37" s="1"/>
    </row>
    <row r="38" spans="1:9" x14ac:dyDescent="0.3">
      <c r="A38" s="175" t="s">
        <v>117</v>
      </c>
      <c r="B38" s="179">
        <v>48</v>
      </c>
      <c r="C38" s="178" t="s">
        <v>176</v>
      </c>
      <c r="D38" s="179">
        <v>88</v>
      </c>
      <c r="E38" s="116" t="s">
        <v>177</v>
      </c>
      <c r="F38" s="175"/>
      <c r="G38" s="175"/>
    </row>
    <row r="39" spans="1:9" x14ac:dyDescent="0.3">
      <c r="A39" s="175" t="s">
        <v>118</v>
      </c>
      <c r="B39" s="178" t="s">
        <v>176</v>
      </c>
      <c r="C39" s="179">
        <v>228</v>
      </c>
      <c r="D39" s="179">
        <v>412</v>
      </c>
      <c r="E39" s="116" t="s">
        <v>177</v>
      </c>
      <c r="F39" s="175"/>
      <c r="G39" s="175"/>
      <c r="I39" s="5" t="s">
        <v>181</v>
      </c>
    </row>
    <row r="40" spans="1:9" x14ac:dyDescent="0.3">
      <c r="A40" s="175" t="s">
        <v>119</v>
      </c>
      <c r="B40" s="179">
        <v>29</v>
      </c>
      <c r="C40" s="179">
        <v>90</v>
      </c>
      <c r="D40" s="179">
        <v>209</v>
      </c>
      <c r="E40" s="116" t="s">
        <v>177</v>
      </c>
      <c r="F40" s="175"/>
      <c r="G40" s="175"/>
      <c r="I40" s="1">
        <v>5</v>
      </c>
    </row>
    <row r="41" spans="1:9" ht="15.6" x14ac:dyDescent="0.3">
      <c r="A41" s="173" t="s">
        <v>98</v>
      </c>
      <c r="B41" s="179">
        <v>36</v>
      </c>
      <c r="C41" s="179">
        <v>36</v>
      </c>
      <c r="D41" s="179">
        <v>36</v>
      </c>
      <c r="E41" s="116" t="s">
        <v>177</v>
      </c>
      <c r="F41" s="175"/>
      <c r="G41" s="175"/>
    </row>
    <row r="42" spans="1:9" x14ac:dyDescent="0.3">
      <c r="A42" s="175" t="s">
        <v>82</v>
      </c>
      <c r="B42" s="178" t="s">
        <v>176</v>
      </c>
      <c r="C42" s="179">
        <v>81</v>
      </c>
      <c r="D42" s="179">
        <v>81</v>
      </c>
      <c r="E42" s="116" t="s">
        <v>177</v>
      </c>
      <c r="F42" s="175"/>
      <c r="G42" s="175"/>
    </row>
    <row r="43" spans="1:9" x14ac:dyDescent="0.3">
      <c r="A43" s="175" t="s">
        <v>93</v>
      </c>
      <c r="B43" s="180">
        <v>19</v>
      </c>
      <c r="C43" s="179">
        <v>44</v>
      </c>
      <c r="D43" s="179">
        <v>125</v>
      </c>
      <c r="E43" s="116" t="s">
        <v>177</v>
      </c>
      <c r="F43" s="175"/>
      <c r="G43" s="175"/>
    </row>
    <row r="44" spans="1:9" x14ac:dyDescent="0.3">
      <c r="A44" s="175" t="s">
        <v>160</v>
      </c>
      <c r="B44" s="180">
        <v>41</v>
      </c>
      <c r="C44" s="179">
        <v>83</v>
      </c>
      <c r="D44" s="179">
        <v>215</v>
      </c>
      <c r="E44" s="116" t="s">
        <v>177</v>
      </c>
      <c r="F44" s="175"/>
      <c r="G44" s="175"/>
      <c r="I44" s="5"/>
    </row>
    <row r="45" spans="1:9" x14ac:dyDescent="0.3">
      <c r="A45" s="116" t="s">
        <v>161</v>
      </c>
      <c r="B45" s="178" t="s">
        <v>176</v>
      </c>
      <c r="C45" s="179">
        <v>155</v>
      </c>
      <c r="D45" s="179">
        <v>380</v>
      </c>
      <c r="E45" s="116" t="s">
        <v>177</v>
      </c>
      <c r="F45" s="175"/>
      <c r="G45" s="175"/>
      <c r="I45" s="169"/>
    </row>
    <row r="46" spans="1:9" x14ac:dyDescent="0.3">
      <c r="A46" s="116" t="s">
        <v>248</v>
      </c>
      <c r="B46" s="178" t="s">
        <v>176</v>
      </c>
      <c r="C46" s="226">
        <v>307</v>
      </c>
      <c r="D46" s="226">
        <v>436</v>
      </c>
      <c r="E46" s="116" t="s">
        <v>177</v>
      </c>
      <c r="F46" s="175"/>
      <c r="G46" s="175"/>
      <c r="I46" s="169"/>
    </row>
    <row r="47" spans="1:9" x14ac:dyDescent="0.3">
      <c r="A47" s="175" t="s">
        <v>252</v>
      </c>
      <c r="B47" s="178" t="s">
        <v>176</v>
      </c>
      <c r="C47" s="179">
        <v>123</v>
      </c>
      <c r="D47" s="179">
        <v>175</v>
      </c>
      <c r="E47" s="116" t="s">
        <v>177</v>
      </c>
      <c r="F47" s="175"/>
      <c r="G47" s="175"/>
      <c r="I47" s="169"/>
    </row>
    <row r="48" spans="1:9" x14ac:dyDescent="0.3">
      <c r="A48" s="175" t="s">
        <v>120</v>
      </c>
      <c r="B48" s="178" t="s">
        <v>176</v>
      </c>
      <c r="C48" s="179">
        <v>19</v>
      </c>
      <c r="D48" s="179">
        <v>37</v>
      </c>
      <c r="E48" s="116" t="s">
        <v>177</v>
      </c>
      <c r="F48" s="175"/>
      <c r="G48" s="175"/>
      <c r="I48" s="169"/>
    </row>
    <row r="49" spans="1:7" x14ac:dyDescent="0.3">
      <c r="A49" s="175" t="s">
        <v>121</v>
      </c>
      <c r="B49" s="178" t="s">
        <v>176</v>
      </c>
      <c r="C49" s="179">
        <v>29</v>
      </c>
      <c r="D49" s="179">
        <v>29</v>
      </c>
      <c r="E49" s="116" t="s">
        <v>177</v>
      </c>
      <c r="F49" s="175"/>
      <c r="G49" s="175"/>
    </row>
    <row r="50" spans="1:7" x14ac:dyDescent="0.3">
      <c r="A50" s="175" t="s">
        <v>122</v>
      </c>
      <c r="B50" s="178" t="s">
        <v>176</v>
      </c>
      <c r="C50" s="179">
        <v>181</v>
      </c>
      <c r="D50" s="179">
        <v>181</v>
      </c>
      <c r="E50" s="116" t="s">
        <v>177</v>
      </c>
      <c r="F50" s="175"/>
      <c r="G50" s="175"/>
    </row>
    <row r="51" spans="1:7" x14ac:dyDescent="0.3">
      <c r="A51" s="116" t="s">
        <v>162</v>
      </c>
      <c r="B51" s="180">
        <v>63</v>
      </c>
      <c r="C51" s="179">
        <v>63</v>
      </c>
      <c r="D51" s="179">
        <v>126</v>
      </c>
      <c r="E51" s="116" t="s">
        <v>177</v>
      </c>
      <c r="F51" s="175"/>
      <c r="G51" s="175"/>
    </row>
    <row r="52" spans="1:7" x14ac:dyDescent="0.3">
      <c r="A52" s="175" t="s">
        <v>123</v>
      </c>
      <c r="B52" s="178" t="s">
        <v>176</v>
      </c>
      <c r="C52" s="179">
        <v>72</v>
      </c>
      <c r="D52" s="179">
        <v>337</v>
      </c>
      <c r="E52" s="116" t="s">
        <v>177</v>
      </c>
      <c r="F52" s="175"/>
      <c r="G52" s="175"/>
    </row>
    <row r="53" spans="1:7" x14ac:dyDescent="0.3">
      <c r="A53" s="175" t="s">
        <v>124</v>
      </c>
      <c r="B53" s="185" t="s">
        <v>176</v>
      </c>
      <c r="C53" s="180">
        <v>45</v>
      </c>
      <c r="D53" s="179">
        <v>126</v>
      </c>
      <c r="E53" s="116" t="s">
        <v>177</v>
      </c>
      <c r="F53" s="175"/>
      <c r="G53" s="175"/>
    </row>
    <row r="54" spans="1:7" x14ac:dyDescent="0.3">
      <c r="A54" s="175" t="s">
        <v>243</v>
      </c>
      <c r="B54" s="178" t="s">
        <v>176</v>
      </c>
      <c r="C54" s="180">
        <v>9</v>
      </c>
      <c r="D54" s="180">
        <v>9</v>
      </c>
      <c r="E54" s="116" t="s">
        <v>177</v>
      </c>
      <c r="F54" s="175"/>
      <c r="G54" s="175"/>
    </row>
    <row r="55" spans="1:7" x14ac:dyDescent="0.3">
      <c r="B55" s="3"/>
      <c r="C55" s="3"/>
      <c r="D55" s="3"/>
      <c r="E55" s="3"/>
      <c r="F55" s="3"/>
      <c r="G55" s="3"/>
    </row>
    <row r="56" spans="1:7" x14ac:dyDescent="0.3">
      <c r="A56" s="183" t="s">
        <v>6</v>
      </c>
      <c r="B56" s="184" t="s">
        <v>172</v>
      </c>
      <c r="C56" t="s">
        <v>179</v>
      </c>
    </row>
    <row r="57" spans="1:7" ht="15.6" x14ac:dyDescent="0.3">
      <c r="A57" t="s">
        <v>86</v>
      </c>
      <c r="B57" s="179">
        <v>171</v>
      </c>
      <c r="C57" s="189"/>
      <c r="E57" s="92"/>
      <c r="F57" s="92"/>
      <c r="G57" s="92"/>
    </row>
    <row r="58" spans="1:7" ht="15.6" x14ac:dyDescent="0.3">
      <c r="A58" t="s">
        <v>45</v>
      </c>
      <c r="B58" s="179">
        <v>171</v>
      </c>
      <c r="C58" s="189"/>
      <c r="E58" s="92"/>
      <c r="F58" s="92"/>
      <c r="G58" s="92"/>
    </row>
    <row r="59" spans="1:7" ht="15.6" x14ac:dyDescent="0.3">
      <c r="A59" t="s">
        <v>87</v>
      </c>
      <c r="B59" s="179">
        <v>518</v>
      </c>
      <c r="C59" s="189"/>
      <c r="E59" s="92"/>
      <c r="F59" s="92"/>
      <c r="G59" s="92"/>
    </row>
    <row r="60" spans="1:7" ht="15.6" x14ac:dyDescent="0.3">
      <c r="A60" t="s">
        <v>88</v>
      </c>
      <c r="B60" s="179">
        <v>48</v>
      </c>
      <c r="C60" s="189"/>
      <c r="E60" s="92"/>
      <c r="F60" s="92"/>
      <c r="G60" s="92"/>
    </row>
    <row r="61" spans="1:7" ht="15.6" x14ac:dyDescent="0.3">
      <c r="A61" t="s">
        <v>46</v>
      </c>
      <c r="B61" s="179">
        <v>137</v>
      </c>
      <c r="C61" s="189"/>
      <c r="E61" s="92"/>
      <c r="F61" s="92"/>
      <c r="G61" s="92"/>
    </row>
    <row r="62" spans="1:7" ht="15.6" x14ac:dyDescent="0.3">
      <c r="A62" t="s">
        <v>89</v>
      </c>
      <c r="B62" s="179">
        <v>137</v>
      </c>
      <c r="C62" s="189"/>
      <c r="E62" s="92"/>
      <c r="F62" s="92"/>
      <c r="G62" s="92"/>
    </row>
    <row r="63" spans="1:7" ht="15.6" x14ac:dyDescent="0.3">
      <c r="A63" t="s">
        <v>47</v>
      </c>
      <c r="B63" s="179">
        <v>103</v>
      </c>
      <c r="C63" s="189"/>
      <c r="E63" s="92"/>
      <c r="F63" s="92"/>
      <c r="G63" s="92"/>
    </row>
    <row r="64" spans="1:7" ht="15.6" x14ac:dyDescent="0.3">
      <c r="A64" t="s">
        <v>215</v>
      </c>
      <c r="B64" s="200">
        <v>296</v>
      </c>
      <c r="C64" s="201"/>
      <c r="E64" s="92"/>
      <c r="F64" s="92"/>
      <c r="G64" s="92"/>
    </row>
    <row r="65" spans="1:7" ht="15.6" x14ac:dyDescent="0.3">
      <c r="A65" t="s">
        <v>163</v>
      </c>
      <c r="B65" s="179">
        <v>62</v>
      </c>
      <c r="C65" s="189"/>
      <c r="E65" s="92"/>
      <c r="F65" s="92"/>
      <c r="G65" s="92"/>
    </row>
    <row r="66" spans="1:7" ht="15.6" x14ac:dyDescent="0.3">
      <c r="A66" t="s">
        <v>247</v>
      </c>
      <c r="B66" s="219">
        <v>165</v>
      </c>
      <c r="C66" s="220"/>
      <c r="E66" s="92"/>
      <c r="F66" s="92"/>
      <c r="G66" s="92"/>
    </row>
    <row r="67" spans="1:7" ht="15.6" x14ac:dyDescent="0.3">
      <c r="A67" t="s">
        <v>79</v>
      </c>
      <c r="B67" s="179">
        <v>171</v>
      </c>
      <c r="C67" s="189" t="s">
        <v>177</v>
      </c>
      <c r="E67" s="92"/>
      <c r="F67" s="92"/>
      <c r="G67" s="92"/>
    </row>
    <row r="68" spans="1:7" ht="15.6" x14ac:dyDescent="0.3">
      <c r="A68" t="s">
        <v>40</v>
      </c>
      <c r="B68" s="179">
        <v>137</v>
      </c>
      <c r="C68" s="189"/>
      <c r="E68" s="92"/>
      <c r="F68" s="92"/>
      <c r="G68" s="92"/>
    </row>
    <row r="69" spans="1:7" ht="15.6" x14ac:dyDescent="0.3">
      <c r="A69" t="s">
        <v>41</v>
      </c>
      <c r="B69" s="179">
        <v>151</v>
      </c>
      <c r="C69" s="189"/>
      <c r="E69" s="92"/>
      <c r="F69" s="92"/>
      <c r="G69" s="92"/>
    </row>
    <row r="70" spans="1:7" ht="15.6" x14ac:dyDescent="0.3">
      <c r="A70" t="s">
        <v>42</v>
      </c>
      <c r="B70" s="179">
        <v>171</v>
      </c>
      <c r="C70" s="189"/>
      <c r="E70" s="92"/>
      <c r="F70" s="92"/>
      <c r="G70" s="92"/>
    </row>
    <row r="71" spans="1:7" ht="15.6" x14ac:dyDescent="0.3">
      <c r="A71" t="s">
        <v>43</v>
      </c>
      <c r="B71" s="179">
        <v>103</v>
      </c>
      <c r="C71" s="189"/>
      <c r="E71" s="92"/>
      <c r="F71" s="92"/>
      <c r="G71" s="92"/>
    </row>
    <row r="72" spans="1:7" ht="15.6" x14ac:dyDescent="0.3">
      <c r="A72" t="s">
        <v>44</v>
      </c>
      <c r="B72" s="179">
        <v>103</v>
      </c>
      <c r="C72" s="189"/>
      <c r="E72" s="1"/>
      <c r="F72" s="92"/>
      <c r="G72" s="92"/>
    </row>
    <row r="73" spans="1:7" ht="15.6" x14ac:dyDescent="0.3">
      <c r="A73" t="s">
        <v>51</v>
      </c>
      <c r="B73" s="179">
        <v>50</v>
      </c>
      <c r="C73" s="189" t="s">
        <v>177</v>
      </c>
      <c r="E73" s="92"/>
      <c r="F73" s="92"/>
      <c r="G73" s="92"/>
    </row>
    <row r="74" spans="1:7" ht="15.6" x14ac:dyDescent="0.3">
      <c r="A74" t="s">
        <v>90</v>
      </c>
      <c r="B74" s="179">
        <v>13</v>
      </c>
      <c r="C74" s="189" t="s">
        <v>177</v>
      </c>
      <c r="E74" s="92"/>
      <c r="F74" s="92"/>
      <c r="G74" s="92"/>
    </row>
    <row r="75" spans="1:7" ht="15.6" x14ac:dyDescent="0.3">
      <c r="A75" t="s">
        <v>50</v>
      </c>
      <c r="B75" s="179">
        <v>137</v>
      </c>
      <c r="C75" s="189"/>
      <c r="E75" s="92"/>
      <c r="F75" s="92"/>
      <c r="G75" s="92"/>
    </row>
    <row r="76" spans="1:7" ht="15.6" x14ac:dyDescent="0.3">
      <c r="A76" t="s">
        <v>135</v>
      </c>
      <c r="B76" s="179">
        <v>167</v>
      </c>
      <c r="C76" s="189"/>
      <c r="E76" s="92"/>
      <c r="F76" s="92"/>
      <c r="G76" s="92"/>
    </row>
    <row r="77" spans="1:7" ht="15.6" x14ac:dyDescent="0.3">
      <c r="A77" t="s">
        <v>83</v>
      </c>
      <c r="B77" s="179">
        <v>344</v>
      </c>
      <c r="C77" s="189"/>
      <c r="E77" s="92"/>
      <c r="F77" s="92"/>
      <c r="G77" s="92"/>
    </row>
    <row r="78" spans="1:7" ht="15.6" x14ac:dyDescent="0.3">
      <c r="A78" t="s">
        <v>164</v>
      </c>
      <c r="B78" s="179">
        <v>112</v>
      </c>
      <c r="C78" s="189"/>
      <c r="E78" s="92"/>
      <c r="F78" s="92"/>
      <c r="G78" s="92"/>
    </row>
    <row r="79" spans="1:7" ht="15.6" x14ac:dyDescent="0.3">
      <c r="A79" t="s">
        <v>48</v>
      </c>
      <c r="B79" s="179">
        <v>62</v>
      </c>
      <c r="C79" s="189"/>
      <c r="E79" s="92"/>
      <c r="F79" s="92"/>
      <c r="G79" s="92"/>
    </row>
    <row r="80" spans="1:7" ht="15.6" x14ac:dyDescent="0.3">
      <c r="A80" t="s">
        <v>49</v>
      </c>
      <c r="B80" s="179">
        <v>62</v>
      </c>
      <c r="C80" s="189" t="s">
        <v>177</v>
      </c>
      <c r="E80" s="92"/>
      <c r="F80" s="92"/>
      <c r="G80" s="92"/>
    </row>
    <row r="81" spans="1:7" ht="15.6" x14ac:dyDescent="0.3">
      <c r="A81" t="s">
        <v>63</v>
      </c>
      <c r="B81" s="179">
        <v>137</v>
      </c>
      <c r="C81" s="189"/>
      <c r="E81" s="92"/>
      <c r="F81" s="92"/>
      <c r="G81" s="92"/>
    </row>
    <row r="82" spans="1:7" ht="15.6" x14ac:dyDescent="0.3">
      <c r="A82" t="s">
        <v>245</v>
      </c>
      <c r="B82" s="219">
        <v>126</v>
      </c>
      <c r="C82" s="220"/>
      <c r="E82" s="92"/>
      <c r="F82" s="92"/>
      <c r="G82" s="92"/>
    </row>
    <row r="83" spans="1:7" ht="15.6" x14ac:dyDescent="0.3">
      <c r="A83" t="s">
        <v>246</v>
      </c>
      <c r="B83" s="219">
        <v>747</v>
      </c>
      <c r="C83" s="220"/>
      <c r="E83" s="92"/>
      <c r="F83" s="92"/>
      <c r="G83" s="92"/>
    </row>
    <row r="84" spans="1:7" x14ac:dyDescent="0.3">
      <c r="B84" s="3"/>
    </row>
    <row r="85" spans="1:7" x14ac:dyDescent="0.3">
      <c r="B85" s="3"/>
    </row>
    <row r="86" spans="1:7" x14ac:dyDescent="0.3">
      <c r="A86" s="183" t="s">
        <v>30</v>
      </c>
      <c r="B86" s="184" t="s">
        <v>173</v>
      </c>
    </row>
    <row r="87" spans="1:7" x14ac:dyDescent="0.3">
      <c r="A87" t="s">
        <v>17</v>
      </c>
      <c r="B87" s="179">
        <v>25</v>
      </c>
    </row>
    <row r="88" spans="1:7" x14ac:dyDescent="0.3">
      <c r="A88" t="s">
        <v>18</v>
      </c>
      <c r="B88" s="3">
        <v>50</v>
      </c>
    </row>
    <row r="91" spans="1:7" x14ac:dyDescent="0.3">
      <c r="A91" s="183" t="s">
        <v>53</v>
      </c>
      <c r="B91" s="184" t="s">
        <v>172</v>
      </c>
    </row>
    <row r="92" spans="1:7" x14ac:dyDescent="0.3">
      <c r="A92" t="s">
        <v>151</v>
      </c>
      <c r="B92" s="179">
        <v>206</v>
      </c>
    </row>
    <row r="93" spans="1:7" x14ac:dyDescent="0.3">
      <c r="A93" t="s">
        <v>152</v>
      </c>
      <c r="B93" s="179">
        <v>345</v>
      </c>
    </row>
    <row r="94" spans="1:7" x14ac:dyDescent="0.3">
      <c r="A94" t="s">
        <v>153</v>
      </c>
      <c r="B94" s="179">
        <v>621</v>
      </c>
    </row>
    <row r="95" spans="1:7" x14ac:dyDescent="0.3">
      <c r="A95" t="s">
        <v>154</v>
      </c>
      <c r="B95" s="179">
        <v>1030</v>
      </c>
    </row>
    <row r="96" spans="1:7" x14ac:dyDescent="0.3">
      <c r="A96" t="s">
        <v>155</v>
      </c>
      <c r="B96" s="179">
        <v>1375</v>
      </c>
    </row>
    <row r="97" spans="1:2" x14ac:dyDescent="0.3">
      <c r="A97" t="s">
        <v>156</v>
      </c>
      <c r="B97" s="179">
        <v>1692</v>
      </c>
    </row>
    <row r="98" spans="1:2" x14ac:dyDescent="0.3">
      <c r="A98" t="s">
        <v>25</v>
      </c>
      <c r="B98" s="179">
        <v>14</v>
      </c>
    </row>
    <row r="99" spans="1:2" x14ac:dyDescent="0.3">
      <c r="A99" t="s">
        <v>84</v>
      </c>
      <c r="B99" s="179">
        <v>342</v>
      </c>
    </row>
    <row r="101" spans="1:2" x14ac:dyDescent="0.3">
      <c r="A101" s="183" t="s">
        <v>64</v>
      </c>
      <c r="B101" s="184" t="s">
        <v>172</v>
      </c>
    </row>
    <row r="102" spans="1:2" x14ac:dyDescent="0.3">
      <c r="A102" t="s">
        <v>151</v>
      </c>
      <c r="B102" s="179">
        <v>164</v>
      </c>
    </row>
    <row r="103" spans="1:2" x14ac:dyDescent="0.3">
      <c r="A103" t="s">
        <v>152</v>
      </c>
      <c r="B103" s="179">
        <v>328</v>
      </c>
    </row>
    <row r="104" spans="1:2" x14ac:dyDescent="0.3">
      <c r="A104" t="s">
        <v>153</v>
      </c>
      <c r="B104" s="179">
        <v>460</v>
      </c>
    </row>
    <row r="105" spans="1:2" x14ac:dyDescent="0.3">
      <c r="A105" t="s">
        <v>154</v>
      </c>
      <c r="B105" s="179">
        <v>591</v>
      </c>
    </row>
    <row r="106" spans="1:2" x14ac:dyDescent="0.3">
      <c r="A106" t="s">
        <v>155</v>
      </c>
      <c r="B106" s="179">
        <v>723</v>
      </c>
    </row>
    <row r="107" spans="1:2" x14ac:dyDescent="0.3">
      <c r="A107" t="s">
        <v>156</v>
      </c>
      <c r="B107" s="179">
        <v>954</v>
      </c>
    </row>
    <row r="108" spans="1:2" x14ac:dyDescent="0.3">
      <c r="B108" s="3"/>
    </row>
    <row r="109" spans="1:2" x14ac:dyDescent="0.3">
      <c r="A109" s="183" t="s">
        <v>65</v>
      </c>
      <c r="B109" s="183" t="s">
        <v>172</v>
      </c>
    </row>
    <row r="110" spans="1:2" x14ac:dyDescent="0.3">
      <c r="A110" t="s">
        <v>151</v>
      </c>
      <c r="B110" s="179">
        <v>103</v>
      </c>
    </row>
    <row r="111" spans="1:2" x14ac:dyDescent="0.3">
      <c r="A111" t="s">
        <v>152</v>
      </c>
      <c r="B111" s="179">
        <v>151</v>
      </c>
    </row>
    <row r="112" spans="1:2" x14ac:dyDescent="0.3">
      <c r="A112" t="s">
        <v>153</v>
      </c>
      <c r="B112" s="179">
        <v>206</v>
      </c>
    </row>
    <row r="113" spans="1:4" x14ac:dyDescent="0.3">
      <c r="A113" t="s">
        <v>154</v>
      </c>
      <c r="B113" s="179">
        <v>276</v>
      </c>
    </row>
    <row r="114" spans="1:4" x14ac:dyDescent="0.3">
      <c r="A114" t="s">
        <v>155</v>
      </c>
      <c r="B114" s="179">
        <v>345</v>
      </c>
    </row>
    <row r="115" spans="1:4" x14ac:dyDescent="0.3">
      <c r="A115" t="s">
        <v>156</v>
      </c>
      <c r="B115" s="179">
        <v>552</v>
      </c>
    </row>
    <row r="117" spans="1:4" x14ac:dyDescent="0.3">
      <c r="A117" s="183" t="s">
        <v>66</v>
      </c>
      <c r="B117" s="183" t="s">
        <v>218</v>
      </c>
      <c r="C117" s="184" t="s">
        <v>219</v>
      </c>
      <c r="D117" s="208" t="s">
        <v>217</v>
      </c>
    </row>
    <row r="118" spans="1:4" x14ac:dyDescent="0.3">
      <c r="A118" t="s">
        <v>157</v>
      </c>
      <c r="B118" s="176">
        <v>225</v>
      </c>
      <c r="C118">
        <v>495</v>
      </c>
      <c r="D118" t="s">
        <v>177</v>
      </c>
    </row>
    <row r="119" spans="1:4" x14ac:dyDescent="0.3">
      <c r="A119" t="s">
        <v>158</v>
      </c>
      <c r="B119" s="176">
        <v>685</v>
      </c>
      <c r="C119">
        <v>1530</v>
      </c>
      <c r="D119" t="s">
        <v>177</v>
      </c>
    </row>
    <row r="120" spans="1:4" x14ac:dyDescent="0.3">
      <c r="A120" t="s">
        <v>159</v>
      </c>
      <c r="B120" s="176">
        <v>1150</v>
      </c>
      <c r="C120">
        <v>2490</v>
      </c>
      <c r="D120" t="s">
        <v>177</v>
      </c>
    </row>
    <row r="121" spans="1:4" x14ac:dyDescent="0.3">
      <c r="A121" t="s">
        <v>220</v>
      </c>
      <c r="B121" s="176">
        <v>1530</v>
      </c>
      <c r="C121">
        <v>4220</v>
      </c>
      <c r="D121" t="s">
        <v>177</v>
      </c>
    </row>
    <row r="122" spans="1:4" x14ac:dyDescent="0.3">
      <c r="A122" t="s">
        <v>221</v>
      </c>
      <c r="B122" s="176">
        <v>2190</v>
      </c>
      <c r="C122">
        <v>8430</v>
      </c>
      <c r="D122" t="s">
        <v>177</v>
      </c>
    </row>
    <row r="123" spans="1:4" x14ac:dyDescent="0.3">
      <c r="A123" t="s">
        <v>174</v>
      </c>
      <c r="B123" s="116">
        <v>5.475E-2</v>
      </c>
      <c r="C123" s="116">
        <v>5.475E-2</v>
      </c>
      <c r="D123" t="s">
        <v>177</v>
      </c>
    </row>
    <row r="125" spans="1:4" x14ac:dyDescent="0.3">
      <c r="A125" s="183" t="s">
        <v>214</v>
      </c>
      <c r="B125" s="168" t="s">
        <v>240</v>
      </c>
      <c r="C125" s="116"/>
    </row>
    <row r="126" spans="1:4" x14ac:dyDescent="0.3">
      <c r="A126" t="s">
        <v>151</v>
      </c>
      <c r="B126" s="176">
        <v>59</v>
      </c>
      <c r="C126" s="116"/>
    </row>
    <row r="127" spans="1:4" x14ac:dyDescent="0.3">
      <c r="A127" t="s">
        <v>152</v>
      </c>
      <c r="B127" s="176">
        <v>86</v>
      </c>
      <c r="C127" s="116"/>
    </row>
    <row r="128" spans="1:4" x14ac:dyDescent="0.3">
      <c r="A128" t="s">
        <v>153</v>
      </c>
      <c r="B128" s="176">
        <v>117</v>
      </c>
      <c r="C128" s="116"/>
    </row>
    <row r="129" spans="1:6" x14ac:dyDescent="0.3">
      <c r="A129" t="s">
        <v>154</v>
      </c>
      <c r="B129" s="176">
        <v>156</v>
      </c>
      <c r="C129" s="116"/>
    </row>
    <row r="130" spans="1:6" x14ac:dyDescent="0.3">
      <c r="A130" t="s">
        <v>155</v>
      </c>
      <c r="B130" s="176">
        <v>195</v>
      </c>
      <c r="C130" s="116"/>
    </row>
    <row r="131" spans="1:6" x14ac:dyDescent="0.3">
      <c r="A131" t="s">
        <v>156</v>
      </c>
      <c r="B131" s="176">
        <v>332</v>
      </c>
      <c r="C131" s="116"/>
    </row>
    <row r="132" spans="1:6" x14ac:dyDescent="0.3">
      <c r="B132" s="116"/>
      <c r="C132" s="116"/>
      <c r="D132" s="116"/>
    </row>
    <row r="133" spans="1:6" x14ac:dyDescent="0.3">
      <c r="A133" s="183" t="s">
        <v>244</v>
      </c>
      <c r="B133" s="183" t="s">
        <v>172</v>
      </c>
      <c r="C133" s="116"/>
      <c r="D133" s="116"/>
    </row>
    <row r="134" spans="1:6" x14ac:dyDescent="0.3">
      <c r="A134" t="s">
        <v>151</v>
      </c>
      <c r="B134" s="179">
        <v>98</v>
      </c>
      <c r="C134" s="116"/>
      <c r="D134" s="116"/>
    </row>
    <row r="135" spans="1:6" x14ac:dyDescent="0.3">
      <c r="A135" t="s">
        <v>152</v>
      </c>
      <c r="B135" s="179">
        <v>144</v>
      </c>
      <c r="C135" s="116"/>
      <c r="D135" s="116"/>
    </row>
    <row r="136" spans="1:6" x14ac:dyDescent="0.3">
      <c r="A136" t="s">
        <v>153</v>
      </c>
      <c r="B136" s="179">
        <v>197</v>
      </c>
      <c r="C136" s="116"/>
      <c r="D136" s="116"/>
    </row>
    <row r="137" spans="1:6" x14ac:dyDescent="0.3">
      <c r="A137" t="s">
        <v>154</v>
      </c>
      <c r="B137" s="179">
        <v>262</v>
      </c>
      <c r="C137" s="116"/>
      <c r="D137" s="116"/>
    </row>
    <row r="138" spans="1:6" x14ac:dyDescent="0.3">
      <c r="A138" t="s">
        <v>155</v>
      </c>
      <c r="B138" s="179">
        <v>328</v>
      </c>
      <c r="C138" s="116"/>
      <c r="D138" s="116"/>
    </row>
    <row r="139" spans="1:6" x14ac:dyDescent="0.3">
      <c r="A139" t="s">
        <v>156</v>
      </c>
      <c r="B139" s="179">
        <v>525</v>
      </c>
      <c r="C139" s="116"/>
      <c r="D139" s="116"/>
    </row>
    <row r="140" spans="1:6" x14ac:dyDescent="0.3">
      <c r="B140" s="116"/>
      <c r="C140" s="116"/>
      <c r="D140" s="116"/>
    </row>
    <row r="141" spans="1:6" x14ac:dyDescent="0.3">
      <c r="A141" s="184" t="s">
        <v>80</v>
      </c>
      <c r="B141" s="184" t="s">
        <v>3</v>
      </c>
      <c r="C141" s="184" t="s">
        <v>5</v>
      </c>
      <c r="D141" s="184" t="s">
        <v>166</v>
      </c>
      <c r="E141" s="184" t="s">
        <v>167</v>
      </c>
      <c r="F141" t="s">
        <v>180</v>
      </c>
    </row>
    <row r="142" spans="1:6" x14ac:dyDescent="0.3">
      <c r="A142">
        <v>1</v>
      </c>
      <c r="B142" s="179">
        <v>195</v>
      </c>
      <c r="C142" s="179">
        <v>255</v>
      </c>
      <c r="D142" s="179">
        <v>255</v>
      </c>
      <c r="E142" s="179">
        <v>314</v>
      </c>
      <c r="F142" s="189" t="s">
        <v>177</v>
      </c>
    </row>
    <row r="143" spans="1:6" x14ac:dyDescent="0.3">
      <c r="A143">
        <v>6</v>
      </c>
      <c r="B143" s="179">
        <v>314</v>
      </c>
      <c r="C143" s="179">
        <v>374</v>
      </c>
      <c r="D143" s="179">
        <v>374</v>
      </c>
      <c r="E143" s="179">
        <v>433</v>
      </c>
      <c r="F143" s="189" t="s">
        <v>177</v>
      </c>
    </row>
    <row r="144" spans="1:6" x14ac:dyDescent="0.3">
      <c r="A144">
        <v>11</v>
      </c>
      <c r="B144" s="179">
        <v>551</v>
      </c>
      <c r="C144" s="179">
        <v>670</v>
      </c>
      <c r="D144" s="179">
        <v>670</v>
      </c>
      <c r="E144" s="179">
        <v>788</v>
      </c>
      <c r="F144" s="189" t="s">
        <v>177</v>
      </c>
    </row>
    <row r="145" spans="1:6" x14ac:dyDescent="0.3">
      <c r="A145">
        <v>21</v>
      </c>
      <c r="B145" s="179">
        <v>907</v>
      </c>
      <c r="C145" s="179">
        <v>1085</v>
      </c>
      <c r="D145" s="179">
        <v>1085</v>
      </c>
      <c r="E145" s="179">
        <v>1263</v>
      </c>
      <c r="F145" s="189" t="s">
        <v>177</v>
      </c>
    </row>
    <row r="146" spans="1:6" x14ac:dyDescent="0.3">
      <c r="A146">
        <v>31</v>
      </c>
      <c r="B146" s="179">
        <v>1203</v>
      </c>
      <c r="C146" s="179">
        <v>1440</v>
      </c>
      <c r="D146" s="179">
        <v>1440</v>
      </c>
      <c r="E146" s="179">
        <v>1737</v>
      </c>
      <c r="F146" s="189" t="s">
        <v>177</v>
      </c>
    </row>
    <row r="147" spans="1:6" x14ac:dyDescent="0.3">
      <c r="A147" s="176">
        <v>41</v>
      </c>
      <c r="B147" s="179">
        <v>1440</v>
      </c>
      <c r="C147" s="179">
        <v>1737</v>
      </c>
      <c r="D147" s="179">
        <v>1737</v>
      </c>
      <c r="E147" s="179">
        <v>2093</v>
      </c>
      <c r="F147" s="189" t="s">
        <v>177</v>
      </c>
    </row>
    <row r="149" spans="1:6" x14ac:dyDescent="0.3">
      <c r="A149" s="184" t="s">
        <v>188</v>
      </c>
      <c r="B149" s="184" t="s">
        <v>197</v>
      </c>
      <c r="C149" s="184" t="s">
        <v>186</v>
      </c>
      <c r="D149" s="184" t="s">
        <v>187</v>
      </c>
    </row>
    <row r="150" spans="1:6" x14ac:dyDescent="0.3">
      <c r="A150" t="s">
        <v>189</v>
      </c>
      <c r="B150" s="3">
        <v>45</v>
      </c>
      <c r="C150" s="3">
        <v>55</v>
      </c>
      <c r="D150">
        <v>63</v>
      </c>
    </row>
    <row r="151" spans="1:6" x14ac:dyDescent="0.3">
      <c r="A151" t="s">
        <v>190</v>
      </c>
      <c r="B151" s="3">
        <v>2</v>
      </c>
      <c r="C151" s="3">
        <v>5</v>
      </c>
      <c r="D151">
        <v>10</v>
      </c>
    </row>
    <row r="152" spans="1:6" x14ac:dyDescent="0.3">
      <c r="A152" t="s">
        <v>191</v>
      </c>
      <c r="B152" s="3">
        <v>540</v>
      </c>
      <c r="C152" s="3">
        <v>660</v>
      </c>
      <c r="D152">
        <v>756</v>
      </c>
    </row>
    <row r="153" spans="1:6" x14ac:dyDescent="0.3">
      <c r="B153" s="3"/>
      <c r="C153" s="3"/>
    </row>
    <row r="154" spans="1:6" x14ac:dyDescent="0.3">
      <c r="B154" s="3"/>
    </row>
    <row r="155" spans="1:6" x14ac:dyDescent="0.3">
      <c r="A155" s="184" t="s">
        <v>126</v>
      </c>
      <c r="B155" s="184" t="s">
        <v>225</v>
      </c>
    </row>
    <row r="156" spans="1:6" x14ac:dyDescent="0.3">
      <c r="A156" t="s">
        <v>129</v>
      </c>
      <c r="B156" s="3">
        <v>934</v>
      </c>
      <c r="D156" s="3"/>
    </row>
    <row r="157" spans="1:6" x14ac:dyDescent="0.3">
      <c r="A157" t="s">
        <v>226</v>
      </c>
      <c r="B157" s="3">
        <v>934</v>
      </c>
      <c r="C157" s="3"/>
      <c r="D157" s="3"/>
      <c r="E157" s="3"/>
    </row>
    <row r="158" spans="1:6" x14ac:dyDescent="0.3">
      <c r="A158" t="s">
        <v>227</v>
      </c>
      <c r="B158" s="3">
        <v>934</v>
      </c>
      <c r="C158" s="3"/>
      <c r="D158" s="3"/>
      <c r="E158" s="3"/>
    </row>
    <row r="159" spans="1:6" x14ac:dyDescent="0.3">
      <c r="A159" t="s">
        <v>130</v>
      </c>
      <c r="B159" s="3">
        <v>934</v>
      </c>
      <c r="C159" s="3"/>
      <c r="D159" s="3"/>
      <c r="E159" s="3"/>
    </row>
    <row r="160" spans="1:6" x14ac:dyDescent="0.3">
      <c r="A160" t="s">
        <v>228</v>
      </c>
      <c r="B160" s="3">
        <v>1354</v>
      </c>
    </row>
    <row r="161" spans="1:5" x14ac:dyDescent="0.3">
      <c r="A161" t="s">
        <v>229</v>
      </c>
      <c r="B161" s="3">
        <v>1354</v>
      </c>
    </row>
    <row r="162" spans="1:5" x14ac:dyDescent="0.3">
      <c r="A162" t="s">
        <v>230</v>
      </c>
      <c r="B162" s="3">
        <v>1354</v>
      </c>
    </row>
    <row r="163" spans="1:5" x14ac:dyDescent="0.3">
      <c r="A163" t="s">
        <v>131</v>
      </c>
      <c r="B163" s="3">
        <v>1354</v>
      </c>
      <c r="C163" s="3"/>
    </row>
    <row r="164" spans="1:5" x14ac:dyDescent="0.3">
      <c r="A164" t="s">
        <v>231</v>
      </c>
      <c r="B164" s="3">
        <v>2299</v>
      </c>
      <c r="C164" s="3"/>
    </row>
    <row r="165" spans="1:5" x14ac:dyDescent="0.3">
      <c r="A165" t="s">
        <v>232</v>
      </c>
      <c r="B165" s="3">
        <v>2299</v>
      </c>
      <c r="C165" s="3"/>
    </row>
    <row r="166" spans="1:5" x14ac:dyDescent="0.3">
      <c r="A166" t="s">
        <v>233</v>
      </c>
      <c r="B166" s="3">
        <v>2299</v>
      </c>
    </row>
    <row r="167" spans="1:5" x14ac:dyDescent="0.3">
      <c r="A167" t="s">
        <v>132</v>
      </c>
      <c r="B167" s="3">
        <v>2299</v>
      </c>
    </row>
    <row r="168" spans="1:5" x14ac:dyDescent="0.3">
      <c r="A168" t="s">
        <v>133</v>
      </c>
      <c r="B168" t="s">
        <v>127</v>
      </c>
      <c r="C168" s="147"/>
      <c r="D168" s="3"/>
    </row>
    <row r="169" spans="1:5" x14ac:dyDescent="0.3">
      <c r="B169" s="3"/>
      <c r="C169" s="3"/>
      <c r="D169" s="3"/>
      <c r="E169" s="3"/>
    </row>
    <row r="170" spans="1:5" x14ac:dyDescent="0.3">
      <c r="B170" s="3"/>
      <c r="C170" s="3"/>
      <c r="D170" s="3"/>
      <c r="E170" s="3"/>
    </row>
    <row r="171" spans="1:5" x14ac:dyDescent="0.3">
      <c r="B171" s="3"/>
      <c r="C171" s="3"/>
      <c r="D171" s="3"/>
      <c r="E171" s="3"/>
    </row>
    <row r="174" spans="1:5" x14ac:dyDescent="0.3">
      <c r="B174" s="3"/>
    </row>
    <row r="175" spans="1:5" x14ac:dyDescent="0.3">
      <c r="B175" s="3"/>
      <c r="C175" s="3"/>
    </row>
    <row r="176" spans="1:5" x14ac:dyDescent="0.3">
      <c r="B176" s="3"/>
      <c r="C176" s="3"/>
    </row>
    <row r="177" spans="2:3" x14ac:dyDescent="0.3">
      <c r="B177" s="3"/>
      <c r="C177" s="3"/>
    </row>
  </sheetData>
  <dataValidations count="1">
    <dataValidation allowBlank="1" showInputMessage="1" showErrorMessage="1" errorTitle="Brak możliwości edycji" sqref="C50:D53 B39 F50:G54 B42 C7:E29 C38 B7:B33 B45:B54" xr:uid="{00000000-0002-0000-0400-000000000000}"/>
  </dataValidations>
  <pageMargins left="0.7" right="0.7" top="0.75" bottom="0.75" header="0.3" footer="0.3"/>
  <pageSetup paperSize="9" scale="63" orientation="landscape"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3</vt:i4>
      </vt:variant>
    </vt:vector>
  </HeadingPairs>
  <TitlesOfParts>
    <vt:vector size="8" baseType="lpstr">
      <vt:lpstr>enova365 - Instalacja 1-bazowa</vt:lpstr>
      <vt:lpstr>enova365 - Biuro Rachunkowe</vt:lpstr>
      <vt:lpstr>enova365 - BRdGr pow.10</vt:lpstr>
      <vt:lpstr>enova365 - Wielofirmowa</vt:lpstr>
      <vt:lpstr>Cennik enova365</vt:lpstr>
      <vt:lpstr>enova365_Praca_Hybrydowa_w_Pulpitach</vt:lpstr>
      <vt:lpstr>'enova365 - Instalacja 1-bazowa'!Obszar_wydruku</vt:lpstr>
      <vt:lpstr>pakiety_BR_AKT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Koziol;sabina.dziubinska@enova.pl</dc:creator>
  <cp:lastModifiedBy>Paulina Dzik</cp:lastModifiedBy>
  <cp:lastPrinted>2014-11-18T08:32:43Z</cp:lastPrinted>
  <dcterms:created xsi:type="dcterms:W3CDTF">2012-10-16T06:15:01Z</dcterms:created>
  <dcterms:modified xsi:type="dcterms:W3CDTF">2023-12-11T14:19:46Z</dcterms:modified>
</cp:coreProperties>
</file>